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01" windowWidth="10725" windowHeight="8850" tabRatio="908" firstSheet="5" activeTab="6"/>
  </bookViews>
  <sheets>
    <sheet name="КВ1.Д3" sheetId="1" state="hidden" r:id="rId1"/>
    <sheet name="КВ2.Д2" sheetId="2" state="hidden" r:id="rId2"/>
    <sheet name="КВ2.Д3" sheetId="3" state="hidden" r:id="rId3"/>
    <sheet name="КВ4.Д8" sheetId="4" state="hidden" r:id="rId4"/>
    <sheet name="КВ4.Д9" sheetId="5" state="hidden" r:id="rId5"/>
    <sheet name="почта муз кв1д7" sheetId="6" r:id="rId6"/>
    <sheet name="КВ1.Д7" sheetId="7" r:id="rId7"/>
    <sheet name="Октяб. Первомайская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Затраты__тыс.руб.____2012_год">'КВ1.Д3'!$E$9:$E$20</definedName>
    <definedName name="_xlnm.Print_Area" localSheetId="0">'КВ1.Д3'!$A$2:$G$55</definedName>
    <definedName name="_xlnm.Print_Area" localSheetId="6">'КВ1.Д7'!$A$1:$Z$40</definedName>
    <definedName name="_xlnm.Print_Area" localSheetId="1">'КВ2.Д2'!$A$5:$J$39</definedName>
    <definedName name="_xlnm.Print_Area" localSheetId="2">'КВ2.Д3'!$A$6:$I$39</definedName>
    <definedName name="_xlnm.Print_Area" localSheetId="3">'КВ4.Д8'!$A$2:$G$43</definedName>
    <definedName name="_xlnm.Print_Area" localSheetId="4">'КВ4.Д9'!$A$2:$H$50</definedName>
    <definedName name="_xlnm.Print_Area" localSheetId="7">'Октяб. Первомайская'!$A$2:$G$39</definedName>
  </definedNames>
  <calcPr fullCalcOnLoad="1"/>
</workbook>
</file>

<file path=xl/sharedStrings.xml><?xml version="1.0" encoding="utf-8"?>
<sst xmlns="http://schemas.openxmlformats.org/spreadsheetml/2006/main" count="539" uniqueCount="204">
  <si>
    <t>№ п/п</t>
  </si>
  <si>
    <t>Статья затрат</t>
  </si>
  <si>
    <t>Расходы</t>
  </si>
  <si>
    <t xml:space="preserve">Отчет </t>
  </si>
  <si>
    <t>материалы</t>
  </si>
  <si>
    <t>вывоз мусора</t>
  </si>
  <si>
    <t xml:space="preserve">цеховые </t>
  </si>
  <si>
    <t>общеэксплуатационные</t>
  </si>
  <si>
    <t>Исполнитель:</t>
  </si>
  <si>
    <t>4.1</t>
  </si>
  <si>
    <t>4.2</t>
  </si>
  <si>
    <t>4.3</t>
  </si>
  <si>
    <t>4.4</t>
  </si>
  <si>
    <t>4.5</t>
  </si>
  <si>
    <t>зарплата, налоги</t>
  </si>
  <si>
    <t>4.6</t>
  </si>
  <si>
    <t>Долматова Е.В.</t>
  </si>
  <si>
    <t>Директор филиала "Михайловский"                                                               КГУП "Примтеплоэнерго"</t>
  </si>
  <si>
    <t xml:space="preserve">об исполнении договорных обязательств </t>
  </si>
  <si>
    <t>прочие</t>
  </si>
  <si>
    <t>Затраты, тыс.руб.        2009 год</t>
  </si>
  <si>
    <t>Затраты, тыс.руб.    2010 год</t>
  </si>
  <si>
    <t>Затраты, тыс.руб. с 09.2008 год</t>
  </si>
  <si>
    <t>Затраты, тыс.руб. с 05. 2009 год</t>
  </si>
  <si>
    <t>Затраты, тыс.руб.c 09.2010 год</t>
  </si>
  <si>
    <t>Затраты, тыс.руб.c 06.2010 год</t>
  </si>
  <si>
    <t xml:space="preserve">Затраты, тыс.руб.    2011 год </t>
  </si>
  <si>
    <t>Затраты, тыс.руб.    2011 год</t>
  </si>
  <si>
    <t>в т.ч. Списание дебиторской задолженности</t>
  </si>
  <si>
    <t xml:space="preserve">Директор филиала "Михайловский"                                                               КГУП "Примтеплоэнерго"                                </t>
  </si>
  <si>
    <t xml:space="preserve">Затраты, тыс.руб.    2012 год </t>
  </si>
  <si>
    <t>материалы  в т.ч.</t>
  </si>
  <si>
    <t>Перечень выполненных работ по текущему ремонту за 2012 год:</t>
  </si>
  <si>
    <t>ИТОГО</t>
  </si>
  <si>
    <t>месяц</t>
  </si>
  <si>
    <t>Наименование работ</t>
  </si>
  <si>
    <t>Сумма</t>
  </si>
  <si>
    <t>4.7</t>
  </si>
  <si>
    <t>Минимальная балансовая прибыль 15%</t>
  </si>
  <si>
    <t>ВСЕГО</t>
  </si>
  <si>
    <t>(2-50-40)</t>
  </si>
  <si>
    <t>кв.1 дом 7       Почта</t>
  </si>
  <si>
    <t>ВДО</t>
  </si>
  <si>
    <t>начислено</t>
  </si>
  <si>
    <t>оплачено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</si>
  <si>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</si>
  <si>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</si>
  <si>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</si>
  <si>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</si>
  <si>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</si>
  <si>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</si>
  <si>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</si>
  <si>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</si>
  <si>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итого:</t>
  </si>
  <si>
    <t>кв.1 дом 7       Музей</t>
  </si>
  <si>
    <t>Всего:</t>
  </si>
  <si>
    <t>октябрь 2012г.</t>
  </si>
  <si>
    <t>Попов С.М.</t>
  </si>
  <si>
    <t>Почта 2012 год</t>
  </si>
  <si>
    <t>Музей 2012 год</t>
  </si>
  <si>
    <t>РОВД 2012 год</t>
  </si>
  <si>
    <t>задолженность</t>
  </si>
  <si>
    <t>ИТОГО жил фонд</t>
  </si>
  <si>
    <t>____________________________________</t>
  </si>
  <si>
    <t>Итого</t>
  </si>
  <si>
    <t>ноябрь 2012г.</t>
  </si>
  <si>
    <t>кв.1 дом 7  МРУИ ГУФСИН</t>
  </si>
  <si>
    <t>в ноябре 2012г.(за 4 мес.)</t>
  </si>
  <si>
    <t>Копылова Т.В.</t>
  </si>
  <si>
    <t>декабрь 2012г.</t>
  </si>
  <si>
    <t>Месяц</t>
  </si>
  <si>
    <t xml:space="preserve">Затраты, тыс.руб.    2013 год </t>
  </si>
  <si>
    <t>Перечень выполненных работ по текущему ремонту за 2013 год:</t>
  </si>
  <si>
    <t>ИТОГО Юр. Лица 2012год</t>
  </si>
  <si>
    <t>ИТОГО Юр. Лица 2013год</t>
  </si>
  <si>
    <t>Почта 2013 год</t>
  </si>
  <si>
    <t>Музей 2013 год</t>
  </si>
  <si>
    <t>РОВД 2013 год</t>
  </si>
  <si>
    <t>ВСЕГО тыс.руб.</t>
  </si>
  <si>
    <t>Зам. директора  по  экономике</t>
  </si>
  <si>
    <t xml:space="preserve">                                       Замена сояков отопления в кв.31,39</t>
  </si>
  <si>
    <t>Труба РРR-AN-PN25 ф25</t>
  </si>
  <si>
    <t>м</t>
  </si>
  <si>
    <t>Колено ЕF 26 1/2 д-26</t>
  </si>
  <si>
    <t>шт.</t>
  </si>
  <si>
    <t>Муфта ВР 26 3/4 ф26</t>
  </si>
  <si>
    <t>Фумлента</t>
  </si>
  <si>
    <t>Сгоны ф15</t>
  </si>
  <si>
    <t>Пробки радиаторные</t>
  </si>
  <si>
    <t>шт</t>
  </si>
  <si>
    <t>январь</t>
  </si>
  <si>
    <t>январь 2013г.</t>
  </si>
  <si>
    <t>февраль 2013г.</t>
  </si>
  <si>
    <t>март 2013г.</t>
  </si>
  <si>
    <t>апрель 2013г.</t>
  </si>
  <si>
    <t>Частичная замена труб стояка отопл. Кв 50</t>
  </si>
  <si>
    <t>Ремонт дверей подъездов (пружина)</t>
  </si>
  <si>
    <t>частичная замена труб хвс в кв.3,6</t>
  </si>
  <si>
    <t>Замена труб хвс в подвале дома стояк кв.3,6,9</t>
  </si>
  <si>
    <t>Частичная замена канализ. Труб в подвале</t>
  </si>
  <si>
    <t>Ремонт электричества</t>
  </si>
  <si>
    <t>Труба метапол 20/26</t>
  </si>
  <si>
    <t xml:space="preserve">       материалы Январь</t>
  </si>
  <si>
    <t xml:space="preserve"> Замена стояков отопления кв.40,44,48,57,61,65,69, подвал</t>
  </si>
  <si>
    <t>Замена профнастила на козырьке подъезда №3</t>
  </si>
  <si>
    <t>Профнастил</t>
  </si>
  <si>
    <t>м2</t>
  </si>
  <si>
    <t>Март</t>
  </si>
  <si>
    <t xml:space="preserve">       материалы Март</t>
  </si>
  <si>
    <t>Ремонт ограждения возле мусорных контейнеров</t>
  </si>
  <si>
    <t>Апрель</t>
  </si>
  <si>
    <t xml:space="preserve">Известь строительная негашеная комковая  сорт I </t>
  </si>
  <si>
    <t>кг</t>
  </si>
  <si>
    <t>Май 2013г.</t>
  </si>
  <si>
    <t>Июнь 2013г.</t>
  </si>
  <si>
    <t>Начисленные доходы ( без НДС ) по 30.07.13г.</t>
  </si>
  <si>
    <t>Начисленные доходы ( без НДС ) по 31.07.13г.</t>
  </si>
  <si>
    <t>Дебиторская задолженность на 31.07.13г      ( с НДС )</t>
  </si>
  <si>
    <t>Фактически полученные доходы (без НДС ) по 30.08.13.</t>
  </si>
  <si>
    <t xml:space="preserve">по адресу:  кв.1 д.3  с 07.2010г по  30.08.2013г </t>
  </si>
  <si>
    <t>Дебиторская задолженность на 30.08.13г      ( с НДС )</t>
  </si>
  <si>
    <t xml:space="preserve">по адресу:  кв.2 д.2  с 09.2008г по  31.08.2013г </t>
  </si>
  <si>
    <t>Начисленные доходы ( без НДС ) по 31.08.13г.</t>
  </si>
  <si>
    <t>Фактически полученные доходы (без НДС ) по 31.08.13.</t>
  </si>
  <si>
    <t>Дебиторская задолженность на 31.08.13г      ( с НДС )</t>
  </si>
  <si>
    <t xml:space="preserve">по адресу:  квартал 2 дом 3  с 09.2008г по  31.08.2013г </t>
  </si>
  <si>
    <t xml:space="preserve">по адресу:  кв.4 д.8  с 09.2010г по  31.08.2013г </t>
  </si>
  <si>
    <t xml:space="preserve">по адресу:  кв.4 д.9  с 05.2009г по  31.08.2013г </t>
  </si>
  <si>
    <t>Июль 2013г.</t>
  </si>
  <si>
    <t>Август 2013г.</t>
  </si>
  <si>
    <t>Сентябрь 2013г.</t>
  </si>
  <si>
    <t>Оплачено без ндс</t>
  </si>
  <si>
    <t>Начислено без ндс</t>
  </si>
  <si>
    <t>Задолженность за 2013 год</t>
  </si>
  <si>
    <t>Задолженность за 2012 год</t>
  </si>
  <si>
    <t>Гл.экономист</t>
  </si>
  <si>
    <t>Холманская З.И.</t>
  </si>
  <si>
    <t xml:space="preserve">по адресу: ул. Первомайская 4 а  с 06.2010г по 31.10.2013г </t>
  </si>
  <si>
    <t>Начисленные доходы ( без НДС ) по 31.10.13г.</t>
  </si>
  <si>
    <t>Фактически полученные доходы (без НДС ) по 31.10.13.</t>
  </si>
  <si>
    <t>Дебиторская задолженность на 31.10.13г      ( с НДС )</t>
  </si>
  <si>
    <t>сентябрь 2013г.</t>
  </si>
  <si>
    <t>октябрь 2013г.</t>
  </si>
  <si>
    <t>ноябрь 2013г.</t>
  </si>
  <si>
    <t>декабрь 2013г.</t>
  </si>
  <si>
    <t>Всего:2013</t>
  </si>
  <si>
    <t>Всего:2012+2013</t>
  </si>
  <si>
    <t>ИТОГО Юр. Лица 2014год</t>
  </si>
  <si>
    <t xml:space="preserve">Затраты, тыс.руб.    2014 год </t>
  </si>
  <si>
    <t>кв.1 дом 7  Почта   495,6 м2</t>
  </si>
  <si>
    <t>ДЗ на нач.м-ца</t>
  </si>
  <si>
    <t>ДЗ на кон.м-ца</t>
  </si>
  <si>
    <t>январь 2014г.</t>
  </si>
  <si>
    <t>кв.1 дом 7   Музей  200,34 м2</t>
  </si>
  <si>
    <t>кв.1 дом 7  МРУИ ГУФСИН  116,4 м2</t>
  </si>
  <si>
    <t>февраль 2014г.</t>
  </si>
  <si>
    <t>март 2014г.</t>
  </si>
  <si>
    <t>Юридические лица</t>
  </si>
  <si>
    <t>Население</t>
  </si>
  <si>
    <t>Списание деб.зад.</t>
  </si>
  <si>
    <t>Списание дебит. Зад. На 389 руб. т.к. лимит у ГУФСИН превышен</t>
  </si>
  <si>
    <t>тыс.руб.</t>
  </si>
  <si>
    <t>Почта 2014 год тыс.руб.</t>
  </si>
  <si>
    <t>Музей 2014 год тыс.руб.</t>
  </si>
  <si>
    <t>РОВД 2014 год тыс.руб.</t>
  </si>
  <si>
    <t>апрель 2014г.</t>
  </si>
  <si>
    <t>май 2014г.</t>
  </si>
  <si>
    <t>июнь 2014г.</t>
  </si>
  <si>
    <t>июль 2014г.</t>
  </si>
  <si>
    <t>Зуева Е.И.</t>
  </si>
  <si>
    <t>август 2014г.</t>
  </si>
  <si>
    <t>почта</t>
  </si>
  <si>
    <t>музей</t>
  </si>
  <si>
    <t>ровд</t>
  </si>
  <si>
    <t>дом</t>
  </si>
  <si>
    <t>сентябрь  2014г.</t>
  </si>
  <si>
    <t>октябрь 2014г.</t>
  </si>
  <si>
    <t>ноябрь  2014г.</t>
  </si>
  <si>
    <t>декабрь2014г.</t>
  </si>
  <si>
    <t>Всего расходов</t>
  </si>
  <si>
    <t>Фактически полученные доходы</t>
  </si>
  <si>
    <t xml:space="preserve">Затраты, тыс.руб.    2015 год </t>
  </si>
  <si>
    <t>Почта 2015 год тыс.руб.</t>
  </si>
  <si>
    <t>Музей 2015 год тыс.руб.</t>
  </si>
  <si>
    <t>РОВД 2015 год тыс.руб.</t>
  </si>
  <si>
    <t>ИТОГО Юр. Лица 2015 год</t>
  </si>
  <si>
    <t xml:space="preserve">2015  год </t>
  </si>
  <si>
    <t>январь 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</si>
  <si>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</si>
  <si>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</si>
  <si>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</si>
  <si>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</si>
  <si>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</si>
  <si>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</si>
  <si>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2015г.</t>
  </si>
  <si>
    <t>сентябрь  2015г.</t>
  </si>
  <si>
    <t>октябрь 2015г.</t>
  </si>
  <si>
    <t>ноябрь  2015г.</t>
  </si>
  <si>
    <t>декабрь2015г.</t>
  </si>
  <si>
    <t>Всего убыток с 09.2010 года по 30.04.2015 год.</t>
  </si>
  <si>
    <t>Начисленные доходы ( без НДС ) по 30.04.15г.</t>
  </si>
  <si>
    <t>Фактически полученные доходы (без НДС ) по 30.04.15.</t>
  </si>
  <si>
    <t>Дебиторская задолженность на 30.04.15г      ( с НДС )</t>
  </si>
  <si>
    <t xml:space="preserve">по адресу:  кв.1 д.7  с 09.2010г по  30.04.2015г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</si>
</sst>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</numFmts>
  <fonts count="62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17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8" xfId="0" applyBorder="1" applyAlignment="1">
      <alignment/>
    </xf>
    <xf numFmtId="173" fontId="4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172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3" fontId="4" fillId="0" borderId="13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/>
    </xf>
    <xf numFmtId="172" fontId="4" fillId="0" borderId="19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0" fontId="0" fillId="0" borderId="20" xfId="0" applyFill="1" applyBorder="1" applyAlignment="1">
      <alignment wrapText="1"/>
    </xf>
    <xf numFmtId="172" fontId="4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54" fillId="0" borderId="1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54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21" xfId="0" applyFont="1" applyBorder="1" applyAlignment="1">
      <alignment/>
    </xf>
    <xf numFmtId="49" fontId="0" fillId="0" borderId="0" xfId="0" applyNumberFormat="1" applyAlignment="1">
      <alignment wrapText="1"/>
    </xf>
    <xf numFmtId="172" fontId="0" fillId="0" borderId="23" xfId="0" applyNumberFormat="1" applyBorder="1" applyAlignment="1">
      <alignment/>
    </xf>
    <xf numFmtId="172" fontId="4" fillId="0" borderId="24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5" xfId="0" applyBorder="1" applyAlignment="1">
      <alignment wrapText="1"/>
    </xf>
    <xf numFmtId="49" fontId="0" fillId="0" borderId="26" xfId="0" applyNumberFormat="1" applyBorder="1" applyAlignment="1">
      <alignment horizontal="right"/>
    </xf>
    <xf numFmtId="172" fontId="4" fillId="0" borderId="27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28" xfId="0" applyFont="1" applyBorder="1" applyAlignment="1">
      <alignment/>
    </xf>
    <xf numFmtId="0" fontId="58" fillId="0" borderId="29" xfId="0" applyFont="1" applyBorder="1" applyAlignment="1">
      <alignment/>
    </xf>
    <xf numFmtId="0" fontId="0" fillId="0" borderId="30" xfId="0" applyBorder="1" applyAlignment="1">
      <alignment/>
    </xf>
    <xf numFmtId="0" fontId="57" fillId="0" borderId="29" xfId="0" applyFont="1" applyBorder="1" applyAlignment="1">
      <alignment/>
    </xf>
    <xf numFmtId="0" fontId="57" fillId="0" borderId="31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25" xfId="0" applyFont="1" applyBorder="1" applyAlignment="1">
      <alignment/>
    </xf>
    <xf numFmtId="0" fontId="56" fillId="0" borderId="32" xfId="0" applyFont="1" applyBorder="1" applyAlignment="1">
      <alignment/>
    </xf>
    <xf numFmtId="0" fontId="56" fillId="0" borderId="33" xfId="0" applyFont="1" applyBorder="1" applyAlignment="1">
      <alignment/>
    </xf>
    <xf numFmtId="0" fontId="0" fillId="0" borderId="29" xfId="0" applyBorder="1" applyAlignment="1">
      <alignment/>
    </xf>
    <xf numFmtId="0" fontId="5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38" xfId="0" applyFont="1" applyBorder="1" applyAlignment="1">
      <alignment/>
    </xf>
    <xf numFmtId="171" fontId="4" fillId="0" borderId="19" xfId="0" applyNumberFormat="1" applyFont="1" applyBorder="1" applyAlignment="1">
      <alignment/>
    </xf>
    <xf numFmtId="171" fontId="0" fillId="0" borderId="0" xfId="0" applyNumberFormat="1" applyAlignment="1">
      <alignment/>
    </xf>
    <xf numFmtId="172" fontId="5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172" fontId="0" fillId="0" borderId="39" xfId="0" applyNumberForma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right" vertical="top"/>
    </xf>
    <xf numFmtId="0" fontId="8" fillId="0" borderId="30" xfId="0" applyNumberFormat="1" applyFont="1" applyBorder="1" applyAlignment="1">
      <alignment horizontal="right" vertical="top"/>
    </xf>
    <xf numFmtId="0" fontId="0" fillId="0" borderId="40" xfId="0" applyBorder="1" applyAlignment="1">
      <alignment/>
    </xf>
    <xf numFmtId="172" fontId="0" fillId="0" borderId="40" xfId="0" applyNumberFormat="1" applyBorder="1" applyAlignment="1">
      <alignment/>
    </xf>
    <xf numFmtId="0" fontId="0" fillId="0" borderId="33" xfId="0" applyBorder="1" applyAlignment="1">
      <alignment vertical="top"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57" fillId="0" borderId="30" xfId="0" applyFont="1" applyBorder="1" applyAlignment="1">
      <alignment/>
    </xf>
    <xf numFmtId="0" fontId="56" fillId="0" borderId="29" xfId="0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8" fillId="0" borderId="36" xfId="0" applyNumberFormat="1" applyFont="1" applyBorder="1" applyAlignment="1">
      <alignment horizontal="right" vertical="top"/>
    </xf>
    <xf numFmtId="0" fontId="4" fillId="0" borderId="18" xfId="0" applyFont="1" applyBorder="1" applyAlignment="1">
      <alignment vertical="top" wrapText="1"/>
    </xf>
    <xf numFmtId="0" fontId="10" fillId="0" borderId="35" xfId="0" applyFont="1" applyBorder="1" applyAlignment="1">
      <alignment horizontal="right" vertical="top"/>
    </xf>
    <xf numFmtId="2" fontId="4" fillId="0" borderId="18" xfId="0" applyNumberFormat="1" applyFont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43" fontId="0" fillId="0" borderId="0" xfId="61" applyFont="1" applyAlignment="1">
      <alignment/>
    </xf>
    <xf numFmtId="43" fontId="0" fillId="0" borderId="0" xfId="0" applyNumberFormat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8" xfId="0" applyFont="1" applyBorder="1" applyAlignment="1">
      <alignment/>
    </xf>
    <xf numFmtId="0" fontId="57" fillId="0" borderId="43" xfId="0" applyFont="1" applyBorder="1" applyAlignment="1">
      <alignment/>
    </xf>
    <xf numFmtId="0" fontId="57" fillId="0" borderId="20" xfId="0" applyFont="1" applyBorder="1" applyAlignment="1">
      <alignment/>
    </xf>
    <xf numFmtId="0" fontId="4" fillId="0" borderId="44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57" fillId="0" borderId="45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0" fontId="61" fillId="0" borderId="0" xfId="0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8" xfId="0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2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2010&#1075;\&#1042;&#1044;&#1054;%202010\&#1042;&#1044;&#1054;%2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2;&#1086;&#1080;%20&#1076;&#1086;&#1082;&#1091;&#1084;&#1077;&#1085;&#1090;&#1099;\2012\&#1042;&#1044;&#1054;%202012\&#1042;&#1053;&#1059;&#1058;&#1056;&#1048;&#1044;&#1054;&#1052;&#1054;&#1042;&#1054;&#1045;%202012%20&#1043;&#1054;&#1044;%20&#1054;&#1050;&#1058;&#1071;&#1041;&#1056;&#1068;&#1057;&#1050;&#1048;&#1049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3;&#1099;&#1090;\5.&#1085;&#1072;&#1095;&#1080;&#1089;&#1083;&#1077;&#1085;&#1080;&#1077;,&#1086;&#1087;&#1083;&#1072;&#1090;&#1072;%20&#1087;&#1086;%20&#1074;&#1085;&#1091;&#1090;&#1088;&#1080;&#1076;&#1086;&#1084;&#1086;&#1074;&#1086;&#1084;&#109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3;&#1099;&#1090;\4.%20&#1074;&#1085;&#1091;&#1090;&#1088;&#1080;&#1076;&#1086;&#1084;&#1086;&#1074;&#1086;&#1077;%20&#1052;&#1080;&#1093;-&#1082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6;&#1072;&#1073;&#1086;&#1095;&#1080;&#1081;%20&#1089;&#1090;&#1086;&#1083;\2014\&#1042;&#1044;&#1054;%202014\&#1042;&#1044;&#1054;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6;&#1072;&#1073;&#1086;&#1095;&#1080;&#1081;%20&#1089;&#1090;&#1086;&#1083;\2014\&#1042;&#1044;&#1054;%202014\&#1089;&#1073;&#1099;&#1090;\4.%20&#1074;&#1085;&#1091;&#1090;&#1088;&#1080;&#1076;&#1086;&#1084;%20&#1052;&#1080;&#1093;-&#1082;&#1072;%2001.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4;&#1054;%20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74;&#1085;&#1091;&#1090;&#1088;&#1080;&#1076;&#1086;&#1084;%20&#1052;&#1080;&#1093;-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2;&#1086;&#1080;%20&#1076;&#1086;&#1082;&#1091;&#1084;&#1077;&#1085;&#1090;&#1099;\2012\&#1042;&#1044;&#1054;%202012\&#1042;&#1044;&#1054;%20&#1057;&#1041;&#1067;&#1058;%20&#1053;&#1072;&#1095;&#1080;&#1089;%20&#1086;&#1087;&#1083;\4%20(&#1040;&#1074;&#1090;&#1086;&#1089;&#1086;&#1093;&#1088;&#1072;&#1085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2;&#1086;&#1080;%20&#1076;&#1086;&#1082;&#1091;&#1084;&#1077;&#1085;&#1090;&#1099;\2011&#1075;\&#1042;&#1044;&#1054;%202011\&#1042;&#1044;&#1054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2;&#1086;&#1080;%20&#1076;&#1086;&#1082;&#1091;&#1084;&#1077;&#1085;&#1090;&#1099;\2012\&#1042;&#1044;&#1054;%202012\&#1042;&#1044;&#1054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2;&#1086;&#1080;%20&#1076;&#1086;&#1082;&#1091;&#1084;&#1077;&#1085;&#1090;&#1099;\2012\&#1042;&#1044;&#1054;%202012\&#1054;&#1090;&#1095;&#1077;&#1090;%20&#1087;&#1086;%20%20%20&#1078;&#1080;&#1083;%20&#1092;&#1086;&#1085;&#1076;&#1091;%20&#1076;&#1086;%202012%20&#1075;&#1086;&#1076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lmatovaev\&#1052;&#1086;&#1080;%20&#1076;&#1086;&#1082;&#1091;&#1084;&#1077;&#1085;&#1090;&#1099;\2012\&#1042;&#1044;&#1054;%202012\&#1042;&#1044;&#1054;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2010&#1075;\&#1042;&#1044;&#1054;%202010\&#1042;&#1044;&#1054;%202009&#1075;&#1086;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2008\&#1042;&#1044;&#1054;%20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4;&#105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Свод  ВДО (Михайл.район)"/>
      <sheetName val="Октяб.рн Первомайс 4а"/>
      <sheetName val="Свод  ВДО (Филиал)"/>
      <sheetName val="9 мес"/>
      <sheetName val="12 мес"/>
    </sheetNames>
    <sheetDataSet>
      <sheetData sheetId="0">
        <row r="45">
          <cell r="AT45">
            <v>21.067257122200004</v>
          </cell>
        </row>
        <row r="54">
          <cell r="AT54">
            <v>97.7735</v>
          </cell>
        </row>
        <row r="58">
          <cell r="AT58">
            <v>24.110874248408457</v>
          </cell>
        </row>
        <row r="63">
          <cell r="AT63">
            <v>0.0114775</v>
          </cell>
        </row>
        <row r="68">
          <cell r="AT68">
            <v>0.004869333333333333</v>
          </cell>
        </row>
        <row r="75">
          <cell r="AT75">
            <v>0.013914888888888897</v>
          </cell>
        </row>
        <row r="78">
          <cell r="AT78">
            <v>0.22267935555555557</v>
          </cell>
        </row>
        <row r="81">
          <cell r="AT81">
            <v>35.167879848249804</v>
          </cell>
        </row>
        <row r="83">
          <cell r="AT83">
            <v>1.0616000000000057</v>
          </cell>
        </row>
        <row r="123">
          <cell r="AT123">
            <v>17.793752661605378</v>
          </cell>
        </row>
        <row r="173">
          <cell r="AT173">
            <v>224.93559322033903</v>
          </cell>
        </row>
      </sheetData>
      <sheetData sheetId="3">
        <row r="45">
          <cell r="AT45">
            <v>6.247227122200003</v>
          </cell>
        </row>
        <row r="54">
          <cell r="AT54">
            <v>33.995</v>
          </cell>
        </row>
        <row r="58">
          <cell r="AT58">
            <v>8.276523779153322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0.15199935555555558</v>
          </cell>
        </row>
        <row r="81">
          <cell r="AT81">
            <v>17.747530887174328</v>
          </cell>
        </row>
        <row r="83">
          <cell r="AT83">
            <v>0.28859999999999975</v>
          </cell>
        </row>
        <row r="123">
          <cell r="AT123">
            <v>5.465165842216273</v>
          </cell>
        </row>
      </sheetData>
      <sheetData sheetId="6">
        <row r="45">
          <cell r="AT45">
            <v>37.1324071222</v>
          </cell>
        </row>
        <row r="54">
          <cell r="AT54">
            <v>194.07800000000003</v>
          </cell>
        </row>
        <row r="58">
          <cell r="AT58">
            <v>49.11594468146916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0.2226993555555556</v>
          </cell>
        </row>
        <row r="81">
          <cell r="AT81">
            <v>57.999425320169856</v>
          </cell>
        </row>
        <row r="83">
          <cell r="AT83">
            <v>7.833600000000003</v>
          </cell>
        </row>
        <row r="123">
          <cell r="AT123">
            <v>31.518497837957995</v>
          </cell>
        </row>
      </sheetData>
      <sheetData sheetId="7">
        <row r="45">
          <cell r="AT45">
            <v>29.121097122200005</v>
          </cell>
        </row>
        <row r="54">
          <cell r="AT54">
            <v>195.13799999999998</v>
          </cell>
        </row>
        <row r="58">
          <cell r="AT58">
            <v>49.36524367272383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0.2226993555555556</v>
          </cell>
        </row>
        <row r="81">
          <cell r="AT81">
            <v>58.92734098552244</v>
          </cell>
        </row>
        <row r="83">
          <cell r="AT83">
            <v>4.246599999999999</v>
          </cell>
        </row>
        <row r="123">
          <cell r="AT123">
            <v>32.62609846894935</v>
          </cell>
        </row>
      </sheetData>
      <sheetData sheetId="9">
        <row r="45">
          <cell r="AT45">
            <v>2.392307122200003</v>
          </cell>
        </row>
        <row r="54">
          <cell r="AT54">
            <v>16.950000000000003</v>
          </cell>
        </row>
        <row r="58">
          <cell r="AT58">
            <v>4.131202649546967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0.15199935555555558</v>
          </cell>
        </row>
        <row r="81">
          <cell r="AT81">
            <v>8.671836443935813</v>
          </cell>
        </row>
        <row r="83">
          <cell r="AT83">
            <v>0.28860000000000063</v>
          </cell>
        </row>
        <row r="123">
          <cell r="AT123">
            <v>2.1461043366308408</v>
          </cell>
        </row>
      </sheetData>
      <sheetData sheetId="10">
        <row r="45">
          <cell r="AT45">
            <v>88.8554071222</v>
          </cell>
        </row>
        <row r="54">
          <cell r="AT54">
            <v>150.579</v>
          </cell>
        </row>
        <row r="58">
          <cell r="AT58">
            <v>37.85849562069342</v>
          </cell>
        </row>
        <row r="63">
          <cell r="AT63">
            <v>0.0114775</v>
          </cell>
        </row>
        <row r="68">
          <cell r="AT68">
            <v>0.011069333333333332</v>
          </cell>
        </row>
        <row r="75">
          <cell r="AT75">
            <v>0.0019998888888888883</v>
          </cell>
        </row>
        <row r="78">
          <cell r="AT78">
            <v>2.4550993555555554</v>
          </cell>
        </row>
        <row r="81">
          <cell r="AT81">
            <v>58.168937176961684</v>
          </cell>
        </row>
        <row r="83">
          <cell r="AT83">
            <v>5.394599999999998</v>
          </cell>
        </row>
        <row r="123">
          <cell r="AT123">
            <v>25.229682070590638</v>
          </cell>
        </row>
      </sheetData>
      <sheetData sheetId="21">
        <row r="45">
          <cell r="AT45">
            <v>17.58921</v>
          </cell>
        </row>
        <row r="54">
          <cell r="AT54">
            <v>92.22827</v>
          </cell>
        </row>
        <row r="58">
          <cell r="AT58">
            <v>23.631448999999996</v>
          </cell>
        </row>
        <row r="81">
          <cell r="AT81">
            <v>44.51398</v>
          </cell>
        </row>
        <row r="83">
          <cell r="AT83">
            <v>1.15462</v>
          </cell>
        </row>
        <row r="123">
          <cell r="AT123">
            <v>10.140007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нутридомовое"/>
      <sheetName val="ТЕКУЩИЙ РЕМОНТ (2)"/>
      <sheetName val="СОДЕРЖ.ЖИЛЬЯ"/>
      <sheetName val="ТЕКУЩИЙ РЕМОНТ"/>
      <sheetName val="Лист3"/>
    </sheetNames>
    <sheetDataSet>
      <sheetData sheetId="0">
        <row r="9">
          <cell r="AJ9">
            <v>954124.62</v>
          </cell>
          <cell r="AK9">
            <v>915548.73</v>
          </cell>
          <cell r="AL9">
            <v>28254.86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2.11"/>
      <sheetName val="01.2012"/>
      <sheetName val="02.2012"/>
      <sheetName val="03.2012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01.2013"/>
      <sheetName val="02.2013"/>
      <sheetName val="03.2013"/>
      <sheetName val="04.2013."/>
      <sheetName val="05.2013."/>
      <sheetName val="06.2013"/>
      <sheetName val="07.2013"/>
      <sheetName val="08.2013"/>
      <sheetName val="09.2013 (2)"/>
      <sheetName val="10.2013"/>
      <sheetName val="11.2013"/>
      <sheetName val="12.2013"/>
    </sheetNames>
    <sheetDataSet>
      <sheetData sheetId="15">
        <row r="5">
          <cell r="P5">
            <v>922676.9099999998</v>
          </cell>
          <cell r="Q5">
            <v>858281.49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.12"/>
      <sheetName val="02.12"/>
      <sheetName val="03.12"/>
      <sheetName val="04.12"/>
      <sheetName val="05.12"/>
      <sheetName val="06.12"/>
      <sheetName val="07.12"/>
      <sheetName val="08.12"/>
      <sheetName val="09.12"/>
      <sheetName val="10.12"/>
      <sheetName val="11.12"/>
      <sheetName val="12.12"/>
      <sheetName val="01.13"/>
      <sheetName val="02.13"/>
      <sheetName val="03.13"/>
      <sheetName val="04.13"/>
      <sheetName val="05.13"/>
      <sheetName val="06.13"/>
      <sheetName val="07.13"/>
      <sheetName val="08.13"/>
      <sheetName val="09.13"/>
      <sheetName val="10.13"/>
      <sheetName val="11.13"/>
      <sheetName val="12.13"/>
      <sheetName val="Лист1"/>
    </sheetNames>
    <sheetDataSet>
      <sheetData sheetId="12">
        <row r="5">
          <cell r="W5">
            <v>332397</v>
          </cell>
          <cell r="X5">
            <v>410421.23999999993</v>
          </cell>
        </row>
        <row r="8">
          <cell r="W8">
            <v>646839.47</v>
          </cell>
          <cell r="X8">
            <v>640079.6000000001</v>
          </cell>
        </row>
        <row r="11">
          <cell r="W11">
            <v>414654.80000000005</v>
          </cell>
          <cell r="X11">
            <v>474891.4639999999</v>
          </cell>
        </row>
        <row r="12">
          <cell r="W12">
            <v>423247.4</v>
          </cell>
          <cell r="X12">
            <v>508192.13000000006</v>
          </cell>
        </row>
        <row r="14">
          <cell r="W14">
            <v>109335.87</v>
          </cell>
          <cell r="X14">
            <v>134775.76</v>
          </cell>
        </row>
        <row r="15">
          <cell r="W15">
            <v>365111.04999999993</v>
          </cell>
          <cell r="X15">
            <v>441735.8599999999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2.д2"/>
      <sheetName val="кв2.д3"/>
      <sheetName val="кв.4д8"/>
      <sheetName val="кв4.д9"/>
      <sheetName val="кв.1д7"/>
      <sheetName val="кв5.д1"/>
      <sheetName val="кв5.д2"/>
      <sheetName val="Свод  ВДО (Михайл.район)"/>
    </sheetNames>
    <sheetDataSet>
      <sheetData sheetId="5">
        <row r="45">
          <cell r="AT45">
            <v>81.06979</v>
          </cell>
        </row>
        <row r="54">
          <cell r="AT54">
            <v>410.73189</v>
          </cell>
        </row>
        <row r="58">
          <cell r="AT58">
            <v>118.41449</v>
          </cell>
        </row>
        <row r="66">
          <cell r="AT66">
            <v>82.86228399999999</v>
          </cell>
        </row>
        <row r="81">
          <cell r="AT81">
            <v>79.713504</v>
          </cell>
        </row>
        <row r="83">
          <cell r="AT83">
            <v>60.93266</v>
          </cell>
        </row>
        <row r="123">
          <cell r="AT12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.12"/>
      <sheetName val="02.12"/>
      <sheetName val="03.12"/>
      <sheetName val="04.12"/>
      <sheetName val="05.12"/>
      <sheetName val="06.12"/>
      <sheetName val="07.12"/>
      <sheetName val="08.12"/>
      <sheetName val="09.12"/>
      <sheetName val="10.12"/>
      <sheetName val="11.12"/>
      <sheetName val="12.12"/>
      <sheetName val="10.13 (2)"/>
      <sheetName val="01.14"/>
      <sheetName val="02,14"/>
      <sheetName val="03,14"/>
      <sheetName val="04.14"/>
      <sheetName val="05.14"/>
      <sheetName val="06,14"/>
      <sheetName val="07,14"/>
      <sheetName val="08,14"/>
      <sheetName val="09,14"/>
      <sheetName val="10.14"/>
      <sheetName val="11.14"/>
      <sheetName val="12.14"/>
    </sheetNames>
    <sheetDataSet>
      <sheetData sheetId="13">
        <row r="6">
          <cell r="W6">
            <v>710001.5999999999</v>
          </cell>
          <cell r="X6">
            <v>735831.5199999999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2.д2"/>
      <sheetName val="кв2.д3"/>
      <sheetName val="кв.4д8"/>
      <sheetName val="кв4.д9"/>
      <sheetName val="кв.1д7"/>
    </sheetNames>
    <sheetDataSet>
      <sheetData sheetId="5">
        <row r="45">
          <cell r="AT45">
            <v>118.43638999999999</v>
          </cell>
        </row>
        <row r="54">
          <cell r="AT54">
            <v>303.99760000000003</v>
          </cell>
        </row>
        <row r="58">
          <cell r="AT58">
            <v>91.90977</v>
          </cell>
        </row>
        <row r="66">
          <cell r="AT66">
            <v>28.91006</v>
          </cell>
        </row>
        <row r="81">
          <cell r="AT81">
            <v>28.326510000000003</v>
          </cell>
        </row>
        <row r="83">
          <cell r="AT83">
            <v>23.13251</v>
          </cell>
        </row>
        <row r="123">
          <cell r="AT1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1.12"/>
      <sheetName val="02.12"/>
      <sheetName val="03.12"/>
      <sheetName val="04.12"/>
      <sheetName val="05.12"/>
      <sheetName val="06.12"/>
      <sheetName val="07.12"/>
      <sheetName val="08.12"/>
      <sheetName val="09.12"/>
      <sheetName val="10.12"/>
      <sheetName val="11.12"/>
      <sheetName val="12.12"/>
      <sheetName val="10.13 (2)"/>
      <sheetName val="01.14"/>
      <sheetName val="02,14"/>
      <sheetName val="03,14"/>
      <sheetName val="04.14"/>
      <sheetName val="05.14"/>
      <sheetName val="06,14"/>
      <sheetName val="07,14"/>
      <sheetName val="08,14"/>
      <sheetName val="09,14"/>
      <sheetName val="10.14"/>
      <sheetName val="11.14"/>
      <sheetName val="12.14"/>
      <sheetName val="01.15"/>
      <sheetName val="02.15"/>
      <sheetName val="03.15"/>
      <sheetName val="04.15"/>
    </sheetNames>
    <sheetDataSet>
      <sheetData sheetId="25">
        <row r="6">
          <cell r="W6">
            <v>236614.38999999998</v>
          </cell>
          <cell r="X6">
            <v>235165.28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12"/>
      <sheetName val="02.12"/>
      <sheetName val="03.12"/>
      <sheetName val="04.12"/>
      <sheetName val="05.12"/>
      <sheetName val="06.12"/>
      <sheetName val="07.12"/>
      <sheetName val="08.12"/>
      <sheetName val="09.12"/>
      <sheetName val="10.12"/>
      <sheetName val="11.12"/>
      <sheetName val="12.12"/>
      <sheetName val="почта муз кв1д7"/>
      <sheetName val="Лист1"/>
    </sheetNames>
    <sheetDataSet>
      <sheetData sheetId="6">
        <row r="5">
          <cell r="W5">
            <v>553749.54</v>
          </cell>
          <cell r="X5">
            <v>547507.26</v>
          </cell>
        </row>
        <row r="8">
          <cell r="W8">
            <v>517096.85999999987</v>
          </cell>
          <cell r="X8">
            <v>503322.1099999999</v>
          </cell>
        </row>
        <row r="11">
          <cell r="W11">
            <v>523804.18000000005</v>
          </cell>
          <cell r="X11">
            <v>509944.97</v>
          </cell>
        </row>
        <row r="12">
          <cell r="W12">
            <v>532961.6999999998</v>
          </cell>
          <cell r="X12">
            <v>521062.95999999996</v>
          </cell>
        </row>
        <row r="14">
          <cell r="W14">
            <v>161175.31999999998</v>
          </cell>
          <cell r="X14">
            <v>157252.19999999998</v>
          </cell>
        </row>
        <row r="15">
          <cell r="Z15">
            <v>450900.0000000001</v>
          </cell>
          <cell r="AA15">
            <v>440562.07627118647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Дет.дом.Новош."/>
      <sheetName val="Свод  ВДО (Михайл.район)"/>
      <sheetName val="Октяб.рн Первомайс 4а"/>
      <sheetName val="Покр.Школа Интер.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0">
        <row r="48">
          <cell r="AT48">
            <v>21.580477000000002</v>
          </cell>
        </row>
        <row r="54">
          <cell r="AT54">
            <v>193.56430787660128</v>
          </cell>
        </row>
        <row r="58">
          <cell r="AT58">
            <v>67.12774280968618</v>
          </cell>
        </row>
        <row r="63">
          <cell r="AT63">
            <v>0.10947499999999999</v>
          </cell>
        </row>
        <row r="68">
          <cell r="AT68">
            <v>0.21329599999999999</v>
          </cell>
        </row>
        <row r="75">
          <cell r="AT75">
            <v>0.185342</v>
          </cell>
        </row>
        <row r="78">
          <cell r="AT78">
            <v>0.5388505</v>
          </cell>
        </row>
        <row r="79">
          <cell r="AT79">
            <v>0.0968705</v>
          </cell>
        </row>
        <row r="81">
          <cell r="AT81">
            <v>75.02488191166461</v>
          </cell>
        </row>
        <row r="83">
          <cell r="AT83">
            <v>9.211349616327102</v>
          </cell>
        </row>
        <row r="123">
          <cell r="AT123">
            <v>27.17825232742966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Свод  ВДО (Михайл.район)"/>
      <sheetName val="Октяб.рн Первомайс 4а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0">
        <row r="45">
          <cell r="AT45">
            <v>49.29224000000001</v>
          </cell>
        </row>
        <row r="54">
          <cell r="AT54">
            <v>321.9524493571717</v>
          </cell>
        </row>
        <row r="58">
          <cell r="AT58">
            <v>94.43209433670141</v>
          </cell>
        </row>
        <row r="66">
          <cell r="AT66">
            <v>116.09053144871797</v>
          </cell>
        </row>
        <row r="81">
          <cell r="AT81">
            <v>115.41333100000001</v>
          </cell>
        </row>
        <row r="83">
          <cell r="AT83">
            <v>24.736469109309045</v>
          </cell>
        </row>
        <row r="123">
          <cell r="AT123">
            <v>53.51869240419653</v>
          </cell>
        </row>
      </sheetData>
      <sheetData sheetId="3">
        <row r="45">
          <cell r="AT45">
            <v>22.39418</v>
          </cell>
        </row>
        <row r="54">
          <cell r="AT54">
            <v>263.29943167845505</v>
          </cell>
        </row>
        <row r="58">
          <cell r="AT58">
            <v>77.27433438002396</v>
          </cell>
        </row>
        <row r="66">
          <cell r="AT66">
            <v>63.49882594871795</v>
          </cell>
        </row>
        <row r="81">
          <cell r="AT81">
            <v>63.008125500000006</v>
          </cell>
        </row>
        <row r="83">
          <cell r="AT83">
            <v>17.40241039146345</v>
          </cell>
        </row>
        <row r="123">
          <cell r="AT123">
            <v>35.748258145263385</v>
          </cell>
        </row>
      </sheetData>
      <sheetData sheetId="6">
        <row r="45">
          <cell r="AT45">
            <v>66.81968</v>
          </cell>
        </row>
        <row r="54">
          <cell r="AT54">
            <v>272.84539269537424</v>
          </cell>
        </row>
        <row r="58">
          <cell r="AT58">
            <v>80.07592026632337</v>
          </cell>
        </row>
        <row r="66">
          <cell r="AT66">
            <v>68.61749094871796</v>
          </cell>
        </row>
        <row r="81">
          <cell r="AT81">
            <v>68.1267905</v>
          </cell>
        </row>
        <row r="83">
          <cell r="AT83">
            <v>21.407176044053127</v>
          </cell>
        </row>
        <row r="123">
          <cell r="AT123">
            <v>42.213260294444794</v>
          </cell>
        </row>
      </sheetData>
      <sheetData sheetId="7">
        <row r="45">
          <cell r="AT45">
            <v>56.056850000000004</v>
          </cell>
        </row>
        <row r="54">
          <cell r="AT54">
            <v>277.6144022596452</v>
          </cell>
        </row>
        <row r="58">
          <cell r="AT58">
            <v>81.47555592077882</v>
          </cell>
        </row>
        <row r="66">
          <cell r="AT66">
            <v>69.89100844871794</v>
          </cell>
        </row>
        <row r="81">
          <cell r="AT81">
            <v>69.400308</v>
          </cell>
        </row>
        <row r="83">
          <cell r="AT83">
            <v>20.35289680924637</v>
          </cell>
        </row>
        <row r="123">
          <cell r="AT123">
            <v>42.108634299045505</v>
          </cell>
        </row>
      </sheetData>
      <sheetData sheetId="9">
        <row r="45">
          <cell r="AT45">
            <v>11.669979999999999</v>
          </cell>
        </row>
        <row r="54">
          <cell r="AT54">
            <v>82.05364359258901</v>
          </cell>
        </row>
        <row r="58">
          <cell r="AT58">
            <v>24.08163665846535</v>
          </cell>
        </row>
        <row r="66">
          <cell r="AT66">
            <v>40.040399748717945</v>
          </cell>
        </row>
        <row r="81">
          <cell r="AT81">
            <v>39.54969929999999</v>
          </cell>
        </row>
        <row r="83">
          <cell r="AT83">
            <v>6.66582916109857</v>
          </cell>
        </row>
        <row r="123">
          <cell r="AT123">
            <v>15.143464493372623</v>
          </cell>
        </row>
      </sheetData>
      <sheetData sheetId="10">
        <row r="45">
          <cell r="AT45">
            <v>14.637679999999998</v>
          </cell>
        </row>
        <row r="54">
          <cell r="AT54">
            <v>274.36745008233805</v>
          </cell>
        </row>
        <row r="58">
          <cell r="AT58">
            <v>80.52301489694145</v>
          </cell>
        </row>
        <row r="66">
          <cell r="AT66">
            <v>68.51576544871794</v>
          </cell>
        </row>
        <row r="81">
          <cell r="AT81">
            <v>68.025065</v>
          </cell>
        </row>
        <row r="83">
          <cell r="AT83">
            <v>17.277584558147947</v>
          </cell>
        </row>
        <row r="123">
          <cell r="AT123">
            <v>37.3796665707769</v>
          </cell>
        </row>
      </sheetData>
      <sheetData sheetId="14">
        <row r="45">
          <cell r="AT45">
            <v>70.32356</v>
          </cell>
        </row>
        <row r="54">
          <cell r="AT54">
            <v>338.14970000000005</v>
          </cell>
        </row>
        <row r="58">
          <cell r="AT58">
            <v>101.56136</v>
          </cell>
        </row>
        <row r="66">
          <cell r="AT66">
            <v>88.4991</v>
          </cell>
        </row>
        <row r="81">
          <cell r="AT81">
            <v>86.88789</v>
          </cell>
        </row>
        <row r="83">
          <cell r="AT83">
            <v>14.874940000000002</v>
          </cell>
        </row>
        <row r="123">
          <cell r="AT123">
            <v>43.18462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л.Ленинская 1"/>
      <sheetName val="ул.Ленинская 3"/>
      <sheetName val="ул.Ленинская 7"/>
      <sheetName val="ул.Советская 2"/>
      <sheetName val="ул.Советская 4"/>
      <sheetName val="ул.Советская 6"/>
      <sheetName val="ул.Советская 10"/>
      <sheetName val="КВ1.Д3"/>
      <sheetName val="КВ1.Д4"/>
      <sheetName val="КВ1.Д5"/>
      <sheetName val="КВ1.Д7"/>
      <sheetName val="почта муз кв1д7"/>
      <sheetName val="КВ1.Д9"/>
      <sheetName val="КВ1.Д20"/>
      <sheetName val="КВ2.Д2"/>
      <sheetName val="КВ2.Д3"/>
      <sheetName val="КВ3.Д1"/>
      <sheetName val="КВ4.Д8"/>
      <sheetName val="КВ4.Д9"/>
      <sheetName val="КВ5.Д1"/>
      <sheetName val="КВ5.Д2"/>
      <sheetName val="Октяб. Первомайская"/>
      <sheetName val="Свод"/>
    </sheetNames>
    <sheetDataSet>
      <sheetData sheetId="11">
        <row r="14">
          <cell r="B14">
            <v>94.65707</v>
          </cell>
          <cell r="C14">
            <v>85.41125</v>
          </cell>
        </row>
        <row r="21">
          <cell r="B21">
            <v>14.950040000000001</v>
          </cell>
          <cell r="C21">
            <v>14.950040000000001</v>
          </cell>
        </row>
        <row r="26">
          <cell r="B26">
            <v>10.857650000000001</v>
          </cell>
          <cell r="C26">
            <v>10.85765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1.д4"/>
      <sheetName val="кв.1д5"/>
      <sheetName val="кв.1д7"/>
      <sheetName val="кв1.д9"/>
      <sheetName val="кв1.д20"/>
      <sheetName val="кв2.д2"/>
      <sheetName val="кв2.д3"/>
      <sheetName val="кв3.д1"/>
      <sheetName val="кв.4д8"/>
      <sheetName val="кв4.д9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Дет.дом.Новош."/>
      <sheetName val="Свод  ВДО (Михайл.район)"/>
      <sheetName val="Октяб.рн Первомайс 4а"/>
      <sheetName val="Покр.Школа Интер.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3">
        <row r="45">
          <cell r="AT45">
            <v>75.27229700000001</v>
          </cell>
        </row>
        <row r="54">
          <cell r="AT54">
            <v>158.6742785254959</v>
          </cell>
        </row>
        <row r="58">
          <cell r="AT58">
            <v>54.277145289084174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58.97203562484473</v>
          </cell>
        </row>
        <row r="83">
          <cell r="AT83">
            <v>2.8330966103427935</v>
          </cell>
        </row>
        <row r="123">
          <cell r="AT123">
            <v>26.8375566277547</v>
          </cell>
        </row>
      </sheetData>
      <sheetData sheetId="6">
        <row r="45">
          <cell r="AT45">
            <v>32.749777</v>
          </cell>
        </row>
        <row r="54">
          <cell r="AT54">
            <v>115.14477115508865</v>
          </cell>
        </row>
        <row r="58">
          <cell r="AT58">
            <v>39.430980075059665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64.68698025483872</v>
          </cell>
        </row>
        <row r="83">
          <cell r="AT83">
            <v>4.190383965901169</v>
          </cell>
        </row>
        <row r="123">
          <cell r="AT123">
            <v>20.99561178295102</v>
          </cell>
        </row>
      </sheetData>
      <sheetData sheetId="7">
        <row r="45">
          <cell r="AT45">
            <v>54.219847</v>
          </cell>
        </row>
        <row r="54">
          <cell r="AT54">
            <v>140.44458286614878</v>
          </cell>
        </row>
        <row r="58">
          <cell r="AT58">
            <v>48.481545105926486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3.8488405</v>
          </cell>
        </row>
        <row r="81">
          <cell r="AT81">
            <v>101.61474969049236</v>
          </cell>
        </row>
        <row r="83">
          <cell r="AT83">
            <v>3.960388555659364</v>
          </cell>
        </row>
        <row r="123">
          <cell r="AT123">
            <v>25.126880583061094</v>
          </cell>
        </row>
      </sheetData>
      <sheetData sheetId="9">
        <row r="45">
          <cell r="AT45">
            <v>49.048287</v>
          </cell>
        </row>
        <row r="54">
          <cell r="AT54">
            <v>110.34739364523207</v>
          </cell>
        </row>
        <row r="58">
          <cell r="AT58">
            <v>37.5586521628923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21.9421494447205</v>
          </cell>
        </row>
        <row r="83">
          <cell r="AT83">
            <v>4.7391583727232005</v>
          </cell>
        </row>
        <row r="123">
          <cell r="AT123">
            <v>24.17369010262317</v>
          </cell>
        </row>
      </sheetData>
      <sheetData sheetId="10">
        <row r="45">
          <cell r="AT45">
            <v>55.098116999999995</v>
          </cell>
        </row>
        <row r="54">
          <cell r="AT54">
            <v>169.2290477668535</v>
          </cell>
        </row>
        <row r="58">
          <cell r="AT58">
            <v>57.89429345206272</v>
          </cell>
        </row>
        <row r="68">
          <cell r="AT68">
            <v>0.01505</v>
          </cell>
        </row>
        <row r="78">
          <cell r="AT78">
            <v>0.1118705</v>
          </cell>
        </row>
        <row r="79">
          <cell r="AT79">
            <v>0.0838705</v>
          </cell>
        </row>
        <row r="81">
          <cell r="AT81">
            <v>65.03837430000002</v>
          </cell>
        </row>
        <row r="83">
          <cell r="AT83">
            <v>6.689612294358996</v>
          </cell>
        </row>
        <row r="123">
          <cell r="AT123">
            <v>29.430471749772224</v>
          </cell>
        </row>
      </sheetData>
      <sheetData sheetId="22">
        <row r="45">
          <cell r="AT45">
            <v>109.24595000000001</v>
          </cell>
        </row>
        <row r="54">
          <cell r="AT54">
            <v>362.428888</v>
          </cell>
        </row>
        <row r="58">
          <cell r="AT58">
            <v>126.13599097061999</v>
          </cell>
        </row>
        <row r="68">
          <cell r="AT68">
            <v>0.002</v>
          </cell>
        </row>
        <row r="73">
          <cell r="AT73">
            <v>0.002</v>
          </cell>
        </row>
        <row r="75">
          <cell r="AT75">
            <v>0.031</v>
          </cell>
        </row>
        <row r="81">
          <cell r="AT81">
            <v>93.82838</v>
          </cell>
        </row>
        <row r="83">
          <cell r="AT83">
            <v>2.7806599999999992</v>
          </cell>
        </row>
        <row r="123">
          <cell r="AT123">
            <v>71.07134700805994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1.д4"/>
      <sheetName val="кв.1д5"/>
      <sheetName val="кв2.д2"/>
      <sheetName val="кв2.д3"/>
      <sheetName val="кв4.д9"/>
      <sheetName val="кв3.д1"/>
      <sheetName val="кв5.д1"/>
      <sheetName val="кв5.д2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9 месяц."/>
      <sheetName val="год"/>
      <sheetName val="Свод кот"/>
    </sheetNames>
    <sheetDataSet>
      <sheetData sheetId="2">
        <row r="44">
          <cell r="AT44">
            <v>34.30209</v>
          </cell>
        </row>
        <row r="51">
          <cell r="AT51">
            <v>109.13289999999999</v>
          </cell>
        </row>
        <row r="55">
          <cell r="AT55">
            <v>27.232287532999997</v>
          </cell>
        </row>
        <row r="79">
          <cell r="AT79">
            <v>0.18</v>
          </cell>
        </row>
        <row r="82">
          <cell r="AT82">
            <v>2.35035</v>
          </cell>
        </row>
        <row r="83">
          <cell r="AT83">
            <v>56.46334</v>
          </cell>
        </row>
        <row r="84">
          <cell r="AT84">
            <v>23.39460359</v>
          </cell>
        </row>
        <row r="124">
          <cell r="AT124">
            <v>22.844476335</v>
          </cell>
        </row>
      </sheetData>
      <sheetData sheetId="3">
        <row r="44">
          <cell r="AT44">
            <v>51.84485</v>
          </cell>
        </row>
        <row r="51">
          <cell r="AT51">
            <v>140.87176999999997</v>
          </cell>
        </row>
        <row r="55">
          <cell r="AT55">
            <v>35.1432616029</v>
          </cell>
        </row>
        <row r="82">
          <cell r="AT82">
            <v>2.35035</v>
          </cell>
        </row>
        <row r="83">
          <cell r="AT83">
            <v>55.29545</v>
          </cell>
        </row>
        <row r="84">
          <cell r="AT84">
            <v>28.393910390000006</v>
          </cell>
        </row>
        <row r="124">
          <cell r="AT124">
            <v>29.4473294665</v>
          </cell>
        </row>
      </sheetData>
      <sheetData sheetId="4">
        <row r="44">
          <cell r="AT44">
            <v>38.71094</v>
          </cell>
        </row>
        <row r="51">
          <cell r="AT51">
            <v>62.26672</v>
          </cell>
        </row>
        <row r="55">
          <cell r="AT55">
            <v>14.840868264400001</v>
          </cell>
        </row>
        <row r="82">
          <cell r="AT82">
            <v>0.9793000000000001</v>
          </cell>
        </row>
        <row r="83">
          <cell r="AT83">
            <v>33.50255</v>
          </cell>
        </row>
        <row r="84">
          <cell r="AT84">
            <v>2.3042018399999997</v>
          </cell>
        </row>
        <row r="124">
          <cell r="AT124">
            <v>12.148732874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.1д5"/>
      <sheetName val="кв1.д4"/>
      <sheetName val="кв2.д2"/>
      <sheetName val="кв2.д3"/>
      <sheetName val="ул.Ленинская д1"/>
      <sheetName val="ул.Ленинская д3"/>
      <sheetName val="ул.Ленинская д7"/>
      <sheetName val="ул.Советская д2"/>
      <sheetName val="ул.Советская д4"/>
      <sheetName val="ул.Советская д6"/>
      <sheetName val="ул. Советская д10"/>
      <sheetName val="кот№18"/>
      <sheetName val="кот№19"/>
      <sheetName val="кот№20"/>
      <sheetName val="9 месяц."/>
      <sheetName val="год"/>
      <sheetName val="год (2)"/>
      <sheetName val="Свод кот"/>
    </sheetNames>
    <sheetDataSet>
      <sheetData sheetId="2">
        <row r="51">
          <cell r="AT51">
            <v>28.6339592</v>
          </cell>
        </row>
        <row r="55">
          <cell r="AT55">
            <v>7.05147679852</v>
          </cell>
        </row>
        <row r="83">
          <cell r="AT83">
            <v>12.39385</v>
          </cell>
        </row>
        <row r="84">
          <cell r="AT84">
            <v>0</v>
          </cell>
        </row>
        <row r="124">
          <cell r="AT124">
            <v>5.184648666176001</v>
          </cell>
        </row>
      </sheetData>
      <sheetData sheetId="3">
        <row r="44">
          <cell r="AT44">
            <v>13.21581</v>
          </cell>
        </row>
        <row r="51">
          <cell r="AT51">
            <v>23.280339199999997</v>
          </cell>
        </row>
        <row r="55">
          <cell r="AT55">
            <v>5.73647679852</v>
          </cell>
        </row>
        <row r="83">
          <cell r="AT83">
            <v>12.46785</v>
          </cell>
        </row>
        <row r="124">
          <cell r="AT124">
            <v>4.2121286661760005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1.д3 "/>
      <sheetName val="кв2.д2"/>
      <sheetName val="кв2.д3"/>
      <sheetName val="кв.4д8"/>
      <sheetName val="кв4.д9"/>
      <sheetName val="кв.1д7"/>
      <sheetName val="кв5.д1"/>
      <sheetName val="кв5.д2"/>
      <sheetName val="Свод  ВДО (Михайл.район)"/>
      <sheetName val="Октяб.рн Первомайс 4а"/>
      <sheetName val="Свод Октябрьский"/>
      <sheetName val="Хороль ВДО"/>
      <sheetName val="Свод  ВДО (Филиал)"/>
      <sheetName val="9 мес"/>
      <sheetName val="12 мес "/>
    </sheetNames>
    <sheetDataSet>
      <sheetData sheetId="0">
        <row r="45">
          <cell r="AT45">
            <v>10.28753</v>
          </cell>
        </row>
        <row r="54">
          <cell r="AT54">
            <v>187.57352875512373</v>
          </cell>
        </row>
        <row r="58">
          <cell r="AT58">
            <v>55.268976731589</v>
          </cell>
        </row>
        <row r="66">
          <cell r="AT66">
            <v>52.15048758755981</v>
          </cell>
        </row>
        <row r="81">
          <cell r="AT81">
            <v>51.039919999999995</v>
          </cell>
        </row>
        <row r="83">
          <cell r="AT83">
            <v>35.79625440403111</v>
          </cell>
        </row>
        <row r="123">
          <cell r="AT123">
            <v>0</v>
          </cell>
        </row>
      </sheetData>
      <sheetData sheetId="1">
        <row r="45">
          <cell r="AT45">
            <v>21.236109999999996</v>
          </cell>
        </row>
        <row r="54">
          <cell r="AT54">
            <v>190.24685883089114</v>
          </cell>
        </row>
        <row r="58">
          <cell r="AT58">
            <v>56.21869569890889</v>
          </cell>
        </row>
        <row r="66">
          <cell r="AT66">
            <v>50.21528078488521</v>
          </cell>
        </row>
        <row r="81">
          <cell r="AT81">
            <v>49.5050598</v>
          </cell>
        </row>
        <row r="83">
          <cell r="AT83">
            <v>56.67109089980247</v>
          </cell>
        </row>
        <row r="123">
          <cell r="AT123">
            <v>0</v>
          </cell>
        </row>
      </sheetData>
      <sheetData sheetId="2">
        <row r="45">
          <cell r="AT45">
            <v>13.564250000000001</v>
          </cell>
        </row>
        <row r="54">
          <cell r="AT54">
            <v>194.1843609562125</v>
          </cell>
        </row>
        <row r="58">
          <cell r="AT58">
            <v>57.3854280088194</v>
          </cell>
        </row>
        <row r="66">
          <cell r="AT66">
            <v>51.0171480240359</v>
          </cell>
        </row>
        <row r="81">
          <cell r="AT81">
            <v>50.38864</v>
          </cell>
        </row>
        <row r="83">
          <cell r="AT83">
            <v>61.689010670987095</v>
          </cell>
        </row>
        <row r="123">
          <cell r="AT123">
            <v>0</v>
          </cell>
        </row>
      </sheetData>
      <sheetData sheetId="3">
        <row r="45">
          <cell r="AT45">
            <v>0.93363</v>
          </cell>
        </row>
        <row r="54">
          <cell r="AT54">
            <v>47.572456646464545</v>
          </cell>
        </row>
        <row r="58">
          <cell r="AT58">
            <v>14.017382989433845</v>
          </cell>
        </row>
        <row r="66">
          <cell r="AT66">
            <v>13.200620011199447</v>
          </cell>
        </row>
        <row r="81">
          <cell r="AT81">
            <v>13.0150986</v>
          </cell>
        </row>
        <row r="83">
          <cell r="AT83">
            <v>9.042882760607524</v>
          </cell>
        </row>
        <row r="123">
          <cell r="AT123">
            <v>0</v>
          </cell>
        </row>
      </sheetData>
      <sheetData sheetId="4">
        <row r="45">
          <cell r="AT45">
            <v>12.94153</v>
          </cell>
        </row>
        <row r="54">
          <cell r="AT54">
            <v>158.8592929356312</v>
          </cell>
        </row>
        <row r="58">
          <cell r="AT58">
            <v>46.80784636456031</v>
          </cell>
        </row>
        <row r="66">
          <cell r="AT66">
            <v>44.16826582665059</v>
          </cell>
        </row>
        <row r="81">
          <cell r="AT81">
            <v>43.54882</v>
          </cell>
        </row>
        <row r="83">
          <cell r="AT83">
            <v>32.15514419666031</v>
          </cell>
        </row>
        <row r="123">
          <cell r="AT123">
            <v>0</v>
          </cell>
        </row>
      </sheetData>
      <sheetData sheetId="5">
        <row r="45">
          <cell r="AT45">
            <v>28.154780000000002</v>
          </cell>
        </row>
        <row r="54">
          <cell r="AT54">
            <v>351.0846586552742</v>
          </cell>
        </row>
        <row r="58">
          <cell r="AT58">
            <v>103.11769926888286</v>
          </cell>
        </row>
        <row r="66">
          <cell r="AT66">
            <v>142.4939964816199</v>
          </cell>
        </row>
        <row r="81">
          <cell r="AT81">
            <v>141.28474920000005</v>
          </cell>
        </row>
        <row r="83">
          <cell r="AT83">
            <v>115.7155100250686</v>
          </cell>
        </row>
        <row r="123">
          <cell r="AT123">
            <v>0</v>
          </cell>
        </row>
      </sheetData>
      <sheetData sheetId="9">
        <row r="45">
          <cell r="AT45">
            <v>65.18028</v>
          </cell>
        </row>
        <row r="54">
          <cell r="AT54">
            <v>256.80809</v>
          </cell>
        </row>
        <row r="58">
          <cell r="AT58">
            <v>77.53836</v>
          </cell>
        </row>
        <row r="66">
          <cell r="AT66">
            <v>90.77758999999999</v>
          </cell>
        </row>
        <row r="81">
          <cell r="AT81">
            <v>78.9904</v>
          </cell>
        </row>
        <row r="83">
          <cell r="AT83">
            <v>5.53223</v>
          </cell>
        </row>
        <row r="123">
          <cell r="AT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view="pageBreakPreview" zoomScaleSheetLayoutView="100" zoomScalePageLayoutView="0" workbookViewId="0" topLeftCell="B1">
      <selection activeCell="C44" sqref="C44"/>
    </sheetView>
  </sheetViews>
  <sheetFormatPr defaultColWidth="9.125" defaultRowHeight="12.75"/>
  <cols>
    <col min="1" max="1" width="7.75390625" style="0" customWidth="1"/>
    <col min="2" max="2" width="40.875" style="0" customWidth="1"/>
    <col min="3" max="3" width="9.75390625" style="0" customWidth="1"/>
    <col min="4" max="4" width="10.00390625" style="0" customWidth="1"/>
    <col min="5" max="5" width="9.25390625" style="0" customWidth="1"/>
    <col min="6" max="6" width="10.125" style="0" customWidth="1"/>
    <col min="7" max="7" width="9.625" style="0" bestFit="1" customWidth="1"/>
    <col min="8" max="8" width="14.375" style="0" customWidth="1"/>
  </cols>
  <sheetData>
    <row r="2" spans="1:7" ht="26.25">
      <c r="A2" s="166" t="s">
        <v>3</v>
      </c>
      <c r="B2" s="166"/>
      <c r="C2" s="166"/>
      <c r="D2" s="166"/>
      <c r="E2" s="166"/>
      <c r="F2" s="166"/>
      <c r="G2" s="166"/>
    </row>
    <row r="4" spans="1:7" s="2" customFormat="1" ht="15.75">
      <c r="A4" s="167" t="s">
        <v>18</v>
      </c>
      <c r="B4" s="167"/>
      <c r="C4" s="167"/>
      <c r="D4" s="167"/>
      <c r="E4" s="167"/>
      <c r="F4" s="167"/>
      <c r="G4" s="167"/>
    </row>
    <row r="5" spans="1:7" s="2" customFormat="1" ht="15.75">
      <c r="A5" s="167" t="s">
        <v>119</v>
      </c>
      <c r="B5" s="167"/>
      <c r="C5" s="167"/>
      <c r="D5" s="167"/>
      <c r="E5" s="167"/>
      <c r="F5" s="167"/>
      <c r="G5" s="167"/>
    </row>
    <row r="6" s="2" customFormat="1" ht="48.75" customHeight="1">
      <c r="B6" s="1"/>
    </row>
    <row r="7" ht="13.5" thickBot="1"/>
    <row r="8" spans="1:7" s="4" customFormat="1" ht="42.75" customHeight="1">
      <c r="A8" s="3" t="s">
        <v>0</v>
      </c>
      <c r="B8" s="16" t="s">
        <v>1</v>
      </c>
      <c r="C8" s="17" t="s">
        <v>21</v>
      </c>
      <c r="D8" s="17" t="s">
        <v>26</v>
      </c>
      <c r="E8" s="17" t="s">
        <v>30</v>
      </c>
      <c r="F8" s="17" t="s">
        <v>71</v>
      </c>
      <c r="G8" s="17" t="s">
        <v>39</v>
      </c>
    </row>
    <row r="9" spans="1:7" ht="37.5" customHeight="1">
      <c r="A9" s="6">
        <v>1</v>
      </c>
      <c r="B9" s="19" t="s">
        <v>115</v>
      </c>
      <c r="C9" s="35">
        <f>'[1]кв1.д3 '!$AT$173</f>
        <v>224.93559322033903</v>
      </c>
      <c r="D9" s="33">
        <f>531.23057/1.18</f>
        <v>450.1953983050847</v>
      </c>
      <c r="E9" s="33">
        <f>'[2]07.12'!$W$5/1000/1.18</f>
        <v>469.2792711864407</v>
      </c>
      <c r="F9" s="33">
        <f>'[12]01.13'!$W$5/1000/1.18</f>
        <v>281.69237288135594</v>
      </c>
      <c r="G9" s="33">
        <f>SUM(C9:F9)</f>
        <v>1426.1026355932204</v>
      </c>
    </row>
    <row r="10" spans="1:7" ht="25.5">
      <c r="A10" s="6">
        <v>2</v>
      </c>
      <c r="B10" s="19" t="s">
        <v>118</v>
      </c>
      <c r="C10" s="42">
        <f>210.00044/1.18</f>
        <v>177.9664745762712</v>
      </c>
      <c r="D10" s="29">
        <f>524.324/1.18</f>
        <v>444.3423728813559</v>
      </c>
      <c r="E10" s="29">
        <f>'[2]07.12'!$X$5/1.18/1000</f>
        <v>463.98920338983055</v>
      </c>
      <c r="F10" s="29">
        <f>'[12]01.13'!$X$5/1000/1.18</f>
        <v>347.8146101694915</v>
      </c>
      <c r="G10" s="33">
        <f aca="true" t="shared" si="0" ref="G10:G20">SUM(C10:F10)</f>
        <v>1434.112661016949</v>
      </c>
    </row>
    <row r="11" spans="1:7" ht="31.5" customHeight="1">
      <c r="A11" s="6">
        <v>3</v>
      </c>
      <c r="B11" s="19" t="s">
        <v>120</v>
      </c>
      <c r="C11" s="32">
        <v>55.42356</v>
      </c>
      <c r="D11" s="29">
        <f>(D9-D10)*1.18+C11</f>
        <v>62.33013</v>
      </c>
      <c r="E11" s="29">
        <f>(E9-E10)*1.18+D11</f>
        <v>68.57241</v>
      </c>
      <c r="F11" s="29">
        <f>(F9-F10)*1.18+E11</f>
        <v>-9.451829999999973</v>
      </c>
      <c r="G11" s="33">
        <f>F11</f>
        <v>-9.451829999999973</v>
      </c>
    </row>
    <row r="12" spans="1:7" ht="12.75">
      <c r="A12" s="6"/>
      <c r="B12" s="12"/>
      <c r="C12" s="18"/>
      <c r="D12" s="22"/>
      <c r="E12" s="22"/>
      <c r="F12" s="22"/>
      <c r="G12" s="33">
        <f t="shared" si="0"/>
        <v>0</v>
      </c>
    </row>
    <row r="13" spans="1:15" ht="12.75">
      <c r="A13" s="6">
        <v>4</v>
      </c>
      <c r="B13" s="19" t="s">
        <v>2</v>
      </c>
      <c r="C13" s="29">
        <f>SUM(C14:C20)</f>
        <v>230.96814394129228</v>
      </c>
      <c r="D13" s="29">
        <f>SUM(D14:D20)</f>
        <v>462.36015528747157</v>
      </c>
      <c r="E13" s="29">
        <f>SUM(E14:E20)</f>
        <v>730.4143673340627</v>
      </c>
      <c r="F13" s="29">
        <f>SUM(F14:F20)</f>
        <v>383.3306334105071</v>
      </c>
      <c r="G13" s="33">
        <f t="shared" si="0"/>
        <v>1807.0732999733336</v>
      </c>
      <c r="H13" s="60"/>
      <c r="I13" s="60"/>
      <c r="J13" s="60"/>
      <c r="K13" s="60"/>
      <c r="L13" s="60"/>
      <c r="M13" s="60"/>
      <c r="N13" s="60"/>
      <c r="O13" s="60"/>
    </row>
    <row r="14" spans="1:7" ht="12.75">
      <c r="A14" s="28" t="s">
        <v>9</v>
      </c>
      <c r="B14" s="12" t="s">
        <v>4</v>
      </c>
      <c r="C14" s="29">
        <f>'[1]кв1.д3 '!$AT$45</f>
        <v>21.067257122200004</v>
      </c>
      <c r="D14" s="39">
        <f>'[3]кв1.д3 '!$AT$48</f>
        <v>21.580477000000002</v>
      </c>
      <c r="E14" s="88">
        <f>'[4]кв1.д3 '!$AT$45</f>
        <v>49.29224000000001</v>
      </c>
      <c r="F14" s="39">
        <f>'[9]кв1.д3 '!$AT$45</f>
        <v>10.28753</v>
      </c>
      <c r="G14" s="33">
        <f t="shared" si="0"/>
        <v>102.22750412220002</v>
      </c>
    </row>
    <row r="15" spans="1:7" ht="12.75">
      <c r="A15" s="28" t="s">
        <v>10</v>
      </c>
      <c r="B15" s="12" t="s">
        <v>14</v>
      </c>
      <c r="C15" s="27">
        <f>'[1]кв1.д3 '!$AT$54+'[1]кв1.д3 '!$AT$58</f>
        <v>121.88437424840845</v>
      </c>
      <c r="D15" s="29">
        <f>'[3]кв1.д3 '!$AT$54+'[3]кв1.д3 '!$AT$58</f>
        <v>260.6920506862875</v>
      </c>
      <c r="E15" s="29">
        <f>'[4]кв1.д3 '!$AT$54+'[4]кв1.д3 '!$AT$58</f>
        <v>416.3845436938731</v>
      </c>
      <c r="F15" s="29">
        <f>'[9]кв1.д3 '!$AT$54+'[9]кв1.д3 '!$AT$58</f>
        <v>242.84250548671272</v>
      </c>
      <c r="G15" s="33">
        <f t="shared" si="0"/>
        <v>1041.8034741152817</v>
      </c>
    </row>
    <row r="16" spans="1:7" ht="12.75">
      <c r="A16" s="28" t="s">
        <v>11</v>
      </c>
      <c r="B16" s="12" t="s">
        <v>5</v>
      </c>
      <c r="C16" s="29">
        <f>'[1]кв1.д3 '!$AT$81</f>
        <v>35.167879848249804</v>
      </c>
      <c r="D16" s="29">
        <f>'[3]кв1.д3 '!$AT$81</f>
        <v>75.02488191166461</v>
      </c>
      <c r="E16" s="29">
        <f>'[4]кв1.д3 '!$AT$81</f>
        <v>115.41333100000001</v>
      </c>
      <c r="F16" s="29">
        <f>'[9]кв1.д3 '!$AT$81</f>
        <v>51.039919999999995</v>
      </c>
      <c r="G16" s="33">
        <f t="shared" si="0"/>
        <v>276.6460127599144</v>
      </c>
    </row>
    <row r="17" spans="1:7" ht="12.75">
      <c r="A17" s="28" t="s">
        <v>12</v>
      </c>
      <c r="B17" s="12" t="s">
        <v>6</v>
      </c>
      <c r="C17" s="29">
        <f>'[1]кв1.д3 '!$AT$83</f>
        <v>1.0616000000000057</v>
      </c>
      <c r="D17" s="29">
        <f>'[3]кв1.д3 '!$AT$83</f>
        <v>9.211349616327102</v>
      </c>
      <c r="E17" s="29">
        <f>'[4]кв1.д3 '!$AT$83</f>
        <v>24.736469109309045</v>
      </c>
      <c r="F17" s="29">
        <f>'[9]кв1.д3 '!$AT$83</f>
        <v>35.79625440403111</v>
      </c>
      <c r="G17" s="33">
        <f t="shared" si="0"/>
        <v>70.80567312966727</v>
      </c>
    </row>
    <row r="18" spans="1:7" ht="12.75">
      <c r="A18" s="28" t="s">
        <v>13</v>
      </c>
      <c r="B18" s="12" t="s">
        <v>7</v>
      </c>
      <c r="C18" s="29">
        <f>'[1]кв1.д3 '!$AT$123</f>
        <v>17.793752661605378</v>
      </c>
      <c r="D18" s="29">
        <f>'[3]кв1.д3 '!$AT$123</f>
        <v>27.17825232742966</v>
      </c>
      <c r="E18" s="29">
        <f>'[4]кв1.д3 '!$AT$123</f>
        <v>53.51869240419653</v>
      </c>
      <c r="F18" s="29">
        <f>'[9]кв1.д3 '!$AT$123</f>
        <v>0</v>
      </c>
      <c r="G18" s="33">
        <f t="shared" si="0"/>
        <v>98.49069739323157</v>
      </c>
    </row>
    <row r="19" spans="1:7" ht="12.75">
      <c r="A19" s="28" t="s">
        <v>15</v>
      </c>
      <c r="B19" s="44" t="s">
        <v>19</v>
      </c>
      <c r="C19" s="29">
        <f>'[1]кв1.д3 '!$AT$78+'[1]кв1.д3 '!$AT$75+'[1]кв1.д3 '!$AT$68+'[1]кв1.д3 '!$AT$63</f>
        <v>0.2529410777777778</v>
      </c>
      <c r="D19" s="29">
        <f>'[3]кв1.д3 '!$AT$79+'[3]кв1.д3 '!$AT$78+'[3]кв1.д3 '!$AT$75+'[3]кв1.д3 '!$AT$68+'[3]кв1.д3 '!$AT$63</f>
        <v>1.143834</v>
      </c>
      <c r="E19" s="29">
        <f>'[4]кв1.д3 '!$AT$66-'[4]кв1.д3 '!$AT$81</f>
        <v>0.6772004487179544</v>
      </c>
      <c r="F19" s="29">
        <f>'[9]кв1.д3 '!$AT$66-'[9]кв1.д3 '!$AT$81</f>
        <v>1.1105675875598138</v>
      </c>
      <c r="G19" s="33">
        <f t="shared" si="0"/>
        <v>3.184543114055546</v>
      </c>
    </row>
    <row r="20" spans="1:8" ht="13.5" thickBot="1">
      <c r="A20" s="28" t="s">
        <v>37</v>
      </c>
      <c r="B20" s="23" t="s">
        <v>38</v>
      </c>
      <c r="C20" s="29">
        <f>C9*15%</f>
        <v>33.740338983050854</v>
      </c>
      <c r="D20" s="29">
        <f>D9*15%</f>
        <v>67.5293097457627</v>
      </c>
      <c r="E20" s="29">
        <f>E9*15%</f>
        <v>70.3918906779661</v>
      </c>
      <c r="F20" s="29">
        <f>F9*15%</f>
        <v>42.253855932203386</v>
      </c>
      <c r="G20" s="33">
        <f t="shared" si="0"/>
        <v>213.91539533898305</v>
      </c>
      <c r="H20" s="5"/>
    </row>
    <row r="21" spans="1:7" ht="13.5" thickBot="1">
      <c r="A21" s="24"/>
      <c r="B21" s="25"/>
      <c r="C21" s="26"/>
      <c r="D21" s="26"/>
      <c r="E21" s="26"/>
      <c r="F21" s="26"/>
      <c r="G21" s="26"/>
    </row>
    <row r="22" spans="1:6" ht="24.75" customHeight="1">
      <c r="A22" s="9"/>
      <c r="B22" s="9"/>
      <c r="C22" s="9"/>
      <c r="D22" s="9"/>
      <c r="E22" s="13"/>
      <c r="F22" s="13"/>
    </row>
    <row r="23" spans="1:11" ht="14.25" customHeight="1" hidden="1" thickBot="1">
      <c r="A23" s="48" t="s">
        <v>72</v>
      </c>
      <c r="B23" s="48"/>
      <c r="C23" s="48"/>
      <c r="D23" s="48"/>
      <c r="E23" s="48"/>
      <c r="F23" s="48"/>
      <c r="H23" s="48"/>
      <c r="I23" s="48"/>
      <c r="J23" s="48"/>
      <c r="K23" s="48"/>
    </row>
    <row r="24" spans="1:7" ht="15" customHeight="1" hidden="1" thickBot="1">
      <c r="A24" s="96" t="s">
        <v>70</v>
      </c>
      <c r="B24" s="160" t="s">
        <v>35</v>
      </c>
      <c r="C24" s="160"/>
      <c r="D24" s="160"/>
      <c r="E24" s="160"/>
      <c r="F24" s="161"/>
      <c r="G24" s="52" t="s">
        <v>36</v>
      </c>
    </row>
    <row r="25" spans="1:7" ht="13.5" customHeight="1" hidden="1" thickBot="1">
      <c r="A25" s="109"/>
      <c r="B25" s="162"/>
      <c r="C25" s="162"/>
      <c r="D25" s="162"/>
      <c r="E25" s="162"/>
      <c r="F25" s="162"/>
      <c r="G25" s="110"/>
    </row>
    <row r="26" spans="1:7" ht="14.25" customHeight="1" hidden="1">
      <c r="A26" s="163" t="s">
        <v>80</v>
      </c>
      <c r="B26" s="164"/>
      <c r="C26" s="164"/>
      <c r="D26" s="164"/>
      <c r="E26" s="164"/>
      <c r="F26" s="165"/>
      <c r="G26" s="111"/>
    </row>
    <row r="27" spans="1:7" ht="14.25" customHeight="1" hidden="1">
      <c r="A27" s="168" t="s">
        <v>90</v>
      </c>
      <c r="B27" s="103" t="s">
        <v>81</v>
      </c>
      <c r="C27" s="104" t="s">
        <v>82</v>
      </c>
      <c r="D27" s="105">
        <v>100</v>
      </c>
      <c r="E27" s="106">
        <v>4</v>
      </c>
      <c r="F27" s="107">
        <v>91.53</v>
      </c>
      <c r="G27" s="108">
        <v>366.12</v>
      </c>
    </row>
    <row r="28" spans="1:7" ht="12.75" hidden="1">
      <c r="A28" s="169"/>
      <c r="B28" s="103" t="s">
        <v>83</v>
      </c>
      <c r="C28" s="104" t="s">
        <v>84</v>
      </c>
      <c r="D28" s="105">
        <v>50</v>
      </c>
      <c r="E28" s="106">
        <v>2</v>
      </c>
      <c r="F28" s="107">
        <v>160</v>
      </c>
      <c r="G28" s="108">
        <v>320</v>
      </c>
    </row>
    <row r="29" spans="1:7" ht="15" customHeight="1" hidden="1">
      <c r="A29" s="169"/>
      <c r="B29" s="103" t="s">
        <v>85</v>
      </c>
      <c r="C29" s="104" t="s">
        <v>84</v>
      </c>
      <c r="D29" s="105">
        <v>175</v>
      </c>
      <c r="E29" s="106">
        <v>7</v>
      </c>
      <c r="F29" s="107">
        <v>93.22</v>
      </c>
      <c r="G29" s="108">
        <v>652.54</v>
      </c>
    </row>
    <row r="30" spans="1:7" ht="13.5" customHeight="1" hidden="1">
      <c r="A30" s="169"/>
      <c r="B30" s="103" t="s">
        <v>86</v>
      </c>
      <c r="C30" s="104" t="s">
        <v>84</v>
      </c>
      <c r="D30" s="105">
        <v>50</v>
      </c>
      <c r="E30" s="106">
        <v>2</v>
      </c>
      <c r="F30" s="107">
        <v>38.88</v>
      </c>
      <c r="G30" s="108">
        <v>77.76</v>
      </c>
    </row>
    <row r="31" spans="1:7" ht="16.5" customHeight="1" hidden="1">
      <c r="A31" s="169"/>
      <c r="B31" s="103" t="s">
        <v>87</v>
      </c>
      <c r="C31" s="104" t="s">
        <v>84</v>
      </c>
      <c r="D31" s="105">
        <v>100</v>
      </c>
      <c r="E31" s="106">
        <v>2</v>
      </c>
      <c r="F31" s="107">
        <v>13.23</v>
      </c>
      <c r="G31" s="108">
        <v>26.46</v>
      </c>
    </row>
    <row r="32" spans="1:7" ht="16.5" customHeight="1" hidden="1" thickBot="1">
      <c r="A32" s="170"/>
      <c r="B32" s="103" t="s">
        <v>88</v>
      </c>
      <c r="C32" s="104" t="s">
        <v>89</v>
      </c>
      <c r="D32" s="105">
        <v>100</v>
      </c>
      <c r="E32" s="106">
        <v>1</v>
      </c>
      <c r="F32" s="107">
        <v>48.25</v>
      </c>
      <c r="G32" s="130">
        <v>48.25</v>
      </c>
    </row>
    <row r="33" spans="1:7" ht="12.75" customHeight="1" hidden="1" thickBot="1">
      <c r="A33" s="173" t="s">
        <v>102</v>
      </c>
      <c r="B33" s="174"/>
      <c r="C33" s="174"/>
      <c r="D33" s="174"/>
      <c r="E33" s="174"/>
      <c r="F33" s="174"/>
      <c r="G33" s="131">
        <f>SUM(G27:G32)</f>
        <v>1491.1299999999999</v>
      </c>
    </row>
    <row r="34" spans="1:7" ht="12.75" customHeight="1" hidden="1" thickBot="1">
      <c r="A34" s="127"/>
      <c r="B34" s="171" t="s">
        <v>103</v>
      </c>
      <c r="C34" s="171"/>
      <c r="D34" s="171"/>
      <c r="E34" s="171"/>
      <c r="F34" s="172"/>
      <c r="G34" s="128"/>
    </row>
    <row r="35" spans="1:7" ht="12.75" hidden="1">
      <c r="A35" s="177" t="s">
        <v>107</v>
      </c>
      <c r="B35" s="120" t="s">
        <v>101</v>
      </c>
      <c r="C35" s="121" t="s">
        <v>82</v>
      </c>
      <c r="D35" s="122">
        <v>100</v>
      </c>
      <c r="E35" s="126">
        <v>30</v>
      </c>
      <c r="F35" s="126">
        <v>68.56</v>
      </c>
      <c r="G35" s="126">
        <v>2056.8</v>
      </c>
    </row>
    <row r="36" spans="1:7" ht="12.75" hidden="1">
      <c r="A36" s="178"/>
      <c r="B36" s="120" t="s">
        <v>85</v>
      </c>
      <c r="C36" s="121" t="s">
        <v>84</v>
      </c>
      <c r="D36" s="122">
        <v>66.66</v>
      </c>
      <c r="E36" s="126">
        <v>20</v>
      </c>
      <c r="F36" s="126">
        <v>64.07</v>
      </c>
      <c r="G36" s="126">
        <v>1281.4</v>
      </c>
    </row>
    <row r="37" spans="1:8" ht="12.75" hidden="1">
      <c r="A37" s="178"/>
      <c r="B37" s="120" t="s">
        <v>86</v>
      </c>
      <c r="C37" s="121" t="s">
        <v>89</v>
      </c>
      <c r="D37" s="122">
        <v>16.666</v>
      </c>
      <c r="E37" s="126">
        <v>5</v>
      </c>
      <c r="F37" s="126">
        <v>38.14</v>
      </c>
      <c r="G37" s="126">
        <v>190.7</v>
      </c>
      <c r="H37" s="89"/>
    </row>
    <row r="38" spans="1:7" ht="13.5" hidden="1" thickBot="1">
      <c r="A38" s="178"/>
      <c r="B38" s="120" t="s">
        <v>88</v>
      </c>
      <c r="C38" s="121" t="s">
        <v>84</v>
      </c>
      <c r="D38" s="122">
        <v>100</v>
      </c>
      <c r="E38" s="126">
        <v>3</v>
      </c>
      <c r="F38" s="126">
        <v>48.25</v>
      </c>
      <c r="G38" s="132">
        <v>144.75</v>
      </c>
    </row>
    <row r="39" spans="1:7" ht="13.5" customHeight="1" hidden="1" thickBot="1">
      <c r="A39" s="178"/>
      <c r="B39" s="173" t="s">
        <v>108</v>
      </c>
      <c r="C39" s="174"/>
      <c r="D39" s="174"/>
      <c r="E39" s="174"/>
      <c r="F39" s="174"/>
      <c r="G39" s="131">
        <f>SUM(G35:G38)</f>
        <v>3673.65</v>
      </c>
    </row>
    <row r="40" spans="1:6" ht="12.75" hidden="1">
      <c r="A40" s="178"/>
      <c r="B40" s="171" t="s">
        <v>104</v>
      </c>
      <c r="C40" s="171"/>
      <c r="D40" s="171"/>
      <c r="E40" s="171"/>
      <c r="F40" s="172"/>
    </row>
    <row r="41" spans="1:7" ht="13.5" hidden="1" thickBot="1">
      <c r="A41" s="178"/>
      <c r="B41" s="120" t="s">
        <v>105</v>
      </c>
      <c r="C41" s="121" t="s">
        <v>106</v>
      </c>
      <c r="D41" s="122">
        <v>100</v>
      </c>
      <c r="E41" s="126">
        <v>4</v>
      </c>
      <c r="F41" s="126">
        <v>219.6</v>
      </c>
      <c r="G41" s="132">
        <v>878.4</v>
      </c>
    </row>
    <row r="42" spans="1:7" ht="13.5" customHeight="1" hidden="1" thickBot="1">
      <c r="A42" s="178"/>
      <c r="B42" s="175" t="s">
        <v>108</v>
      </c>
      <c r="C42" s="176"/>
      <c r="D42" s="176"/>
      <c r="E42" s="176"/>
      <c r="F42" s="176"/>
      <c r="G42" s="131">
        <f>SUM(G41)</f>
        <v>878.4</v>
      </c>
    </row>
    <row r="43" spans="1:7" ht="13.5" hidden="1" thickBot="1">
      <c r="A43" s="6" t="s">
        <v>110</v>
      </c>
      <c r="B43" s="120" t="s">
        <v>111</v>
      </c>
      <c r="C43" s="121" t="s">
        <v>112</v>
      </c>
      <c r="D43" s="122"/>
      <c r="E43" s="46"/>
      <c r="F43" s="12"/>
      <c r="G43" s="133">
        <v>216</v>
      </c>
    </row>
    <row r="44" spans="1:6" ht="12.75">
      <c r="A44" s="9"/>
      <c r="B44" s="123"/>
      <c r="C44" s="124"/>
      <c r="D44" s="125"/>
      <c r="E44" s="9"/>
      <c r="F44" s="9"/>
    </row>
    <row r="45" spans="1:7" ht="12.75">
      <c r="A45" s="9"/>
      <c r="B45" s="123"/>
      <c r="C45" s="124"/>
      <c r="D45" s="125"/>
      <c r="E45" s="9"/>
      <c r="F45" s="9"/>
      <c r="G45" s="129"/>
    </row>
    <row r="46" spans="1:6" ht="12.75">
      <c r="A46" s="9"/>
      <c r="B46" s="123"/>
      <c r="C46" s="124"/>
      <c r="D46" s="125"/>
      <c r="E46" s="9"/>
      <c r="F46" s="9"/>
    </row>
    <row r="47" spans="1:6" ht="32.25" customHeight="1">
      <c r="A47" s="9"/>
      <c r="B47" s="43" t="s">
        <v>29</v>
      </c>
      <c r="F47" s="14" t="s">
        <v>57</v>
      </c>
    </row>
    <row r="48" spans="1:6" ht="34.5" customHeight="1">
      <c r="A48" s="9"/>
      <c r="B48" s="14" t="s">
        <v>79</v>
      </c>
      <c r="F48" s="14" t="s">
        <v>68</v>
      </c>
    </row>
    <row r="49" spans="1:8" ht="12.75">
      <c r="A49" s="9"/>
      <c r="B49" s="14"/>
      <c r="C49" s="14"/>
      <c r="D49" s="9"/>
      <c r="E49" s="10"/>
      <c r="F49" s="10"/>
      <c r="H49" s="5"/>
    </row>
    <row r="50" spans="1:8" ht="12.75">
      <c r="A50" s="9"/>
      <c r="B50" s="9"/>
      <c r="C50" s="9"/>
      <c r="D50" s="9"/>
      <c r="E50" s="10"/>
      <c r="F50" s="10"/>
      <c r="G50" s="1"/>
      <c r="H50" s="1"/>
    </row>
    <row r="51" spans="1:8" s="2" customFormat="1" ht="12.75">
      <c r="A51" s="14"/>
      <c r="B51" s="14"/>
      <c r="C51" s="14"/>
      <c r="D51" s="14"/>
      <c r="E51" s="15"/>
      <c r="F51" s="15"/>
      <c r="G51" s="1"/>
      <c r="H51" s="7"/>
    </row>
    <row r="52" spans="5:8" s="9" customFormat="1" ht="12.75">
      <c r="E52" s="10"/>
      <c r="F52" s="10"/>
      <c r="G52" s="8"/>
      <c r="H52" s="7"/>
    </row>
    <row r="53" spans="2:8" s="9" customFormat="1" ht="12.75">
      <c r="B53" s="11" t="s">
        <v>8</v>
      </c>
      <c r="E53" s="10"/>
      <c r="F53" s="10"/>
      <c r="G53" s="8"/>
      <c r="H53" s="7"/>
    </row>
    <row r="54" spans="1:6" ht="12.75">
      <c r="A54" s="9"/>
      <c r="B54" s="9" t="s">
        <v>16</v>
      </c>
      <c r="C54" s="9"/>
      <c r="D54" s="9"/>
      <c r="E54" s="10"/>
      <c r="F54" s="10"/>
    </row>
    <row r="55" s="9" customFormat="1" ht="12.75">
      <c r="B55" s="9" t="s">
        <v>40</v>
      </c>
    </row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</sheetData>
  <sheetProtection/>
  <mergeCells count="13">
    <mergeCell ref="A27:A32"/>
    <mergeCell ref="B40:F40"/>
    <mergeCell ref="B39:F39"/>
    <mergeCell ref="B42:F42"/>
    <mergeCell ref="A35:A42"/>
    <mergeCell ref="B34:F34"/>
    <mergeCell ref="A33:F33"/>
    <mergeCell ref="B24:F24"/>
    <mergeCell ref="B25:F25"/>
    <mergeCell ref="A26:F26"/>
    <mergeCell ref="A2:G2"/>
    <mergeCell ref="A4:G4"/>
    <mergeCell ref="A5:G5"/>
  </mergeCells>
  <printOptions/>
  <pageMargins left="0.61" right="0" top="0.984251968503937" bottom="0.98425196850393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48"/>
  <sheetViews>
    <sheetView view="pageBreakPreview" zoomScaleSheetLayoutView="100" zoomScalePageLayoutView="0" workbookViewId="0" topLeftCell="C4">
      <selection activeCell="C44" sqref="C44"/>
    </sheetView>
  </sheetViews>
  <sheetFormatPr defaultColWidth="9.125" defaultRowHeight="12.75"/>
  <cols>
    <col min="1" max="1" width="4.375" style="0" customWidth="1"/>
    <col min="2" max="2" width="32.625" style="0" customWidth="1"/>
    <col min="3" max="3" width="11.25390625" style="0" customWidth="1"/>
    <col min="4" max="4" width="11.375" style="0" customWidth="1"/>
    <col min="5" max="5" width="9.625" style="0" customWidth="1"/>
    <col min="6" max="8" width="11.125" style="0" customWidth="1"/>
    <col min="10" max="10" width="9.625" style="0" bestFit="1" customWidth="1"/>
  </cols>
  <sheetData>
    <row r="5" spans="1:6" ht="26.25">
      <c r="A5" s="166" t="s">
        <v>3</v>
      </c>
      <c r="B5" s="166"/>
      <c r="C5" s="166"/>
      <c r="D5" s="166"/>
      <c r="E5" s="166"/>
      <c r="F5" s="166"/>
    </row>
    <row r="7" spans="1:8" s="2" customFormat="1" ht="15.75">
      <c r="A7" s="31"/>
      <c r="B7" s="167" t="s">
        <v>18</v>
      </c>
      <c r="C7" s="167"/>
      <c r="D7" s="167"/>
      <c r="E7" s="167"/>
      <c r="F7" s="167"/>
      <c r="G7" s="20"/>
      <c r="H7" s="20"/>
    </row>
    <row r="8" spans="1:8" s="2" customFormat="1" ht="15.75">
      <c r="A8" s="167" t="s">
        <v>121</v>
      </c>
      <c r="B8" s="167"/>
      <c r="C8" s="167"/>
      <c r="D8" s="167"/>
      <c r="E8" s="167"/>
      <c r="F8" s="167"/>
      <c r="G8" s="20"/>
      <c r="H8" s="119"/>
    </row>
    <row r="9" spans="2:8" s="2" customFormat="1" ht="12.75">
      <c r="B9" s="21"/>
      <c r="C9" s="21"/>
      <c r="H9" s="118"/>
    </row>
    <row r="10" ht="13.5" thickBot="1"/>
    <row r="11" spans="1:9" s="4" customFormat="1" ht="48.75" customHeight="1">
      <c r="A11" s="3" t="s">
        <v>0</v>
      </c>
      <c r="B11" s="16" t="s">
        <v>1</v>
      </c>
      <c r="C11" s="17" t="s">
        <v>22</v>
      </c>
      <c r="D11" s="17" t="s">
        <v>20</v>
      </c>
      <c r="E11" s="17" t="s">
        <v>21</v>
      </c>
      <c r="F11" s="17" t="s">
        <v>26</v>
      </c>
      <c r="G11" s="17" t="s">
        <v>30</v>
      </c>
      <c r="H11" s="17" t="s">
        <v>71</v>
      </c>
      <c r="I11" s="17" t="s">
        <v>39</v>
      </c>
    </row>
    <row r="12" spans="1:9" ht="25.5">
      <c r="A12" s="6">
        <v>1</v>
      </c>
      <c r="B12" s="19" t="s">
        <v>122</v>
      </c>
      <c r="C12" s="37">
        <f>141.23491/1.18</f>
        <v>119.69060169491527</v>
      </c>
      <c r="D12" s="42">
        <f>423.41794/1.18</f>
        <v>358.82876271186444</v>
      </c>
      <c r="E12" s="35">
        <f>424.02549/1.18</f>
        <v>359.34363559322037</v>
      </c>
      <c r="F12" s="33">
        <f>424.01527/1.18</f>
        <v>359.3349745762712</v>
      </c>
      <c r="G12" s="33">
        <f>'[2]07.12'!$W$11/1.18/1000</f>
        <v>443.9018474576272</v>
      </c>
      <c r="H12" s="33">
        <f>'[12]01.13'!$W$11/1000/1.18</f>
        <v>351.402372881356</v>
      </c>
      <c r="I12" s="33">
        <f>E12+F12+G12+D12+C12+H12</f>
        <v>1992.5021949152547</v>
      </c>
    </row>
    <row r="13" spans="1:9" ht="25.5">
      <c r="A13" s="6">
        <v>2</v>
      </c>
      <c r="B13" s="19" t="s">
        <v>123</v>
      </c>
      <c r="C13" s="37">
        <f>124.31724/1.18</f>
        <v>105.353593220339</v>
      </c>
      <c r="D13" s="42">
        <f>400.17569/1.18</f>
        <v>339.1319406779661</v>
      </c>
      <c r="E13" s="42">
        <f>422.89419/1.18</f>
        <v>358.38490677966104</v>
      </c>
      <c r="F13" s="29">
        <f>422.09428/1.18</f>
        <v>357.7070169491526</v>
      </c>
      <c r="G13" s="29">
        <f>'[2]07.12'!$X$11/1.18/1000</f>
        <v>432.15675423728817</v>
      </c>
      <c r="H13" s="33">
        <f>'[12]01.13'!$X$11/1000/1.18</f>
        <v>402.4503932203389</v>
      </c>
      <c r="I13" s="33">
        <f>E13+F13+G13+D13+C13+H13</f>
        <v>1995.1846050847457</v>
      </c>
    </row>
    <row r="14" spans="1:9" ht="25.5">
      <c r="A14" s="6">
        <v>3</v>
      </c>
      <c r="B14" s="19" t="s">
        <v>124</v>
      </c>
      <c r="C14" s="29">
        <f>(C12-C13)*1.18</f>
        <v>16.917670000000008</v>
      </c>
      <c r="D14" s="32">
        <f>(D12-D13)*1.18+C14</f>
        <v>40.15992000000006</v>
      </c>
      <c r="E14" s="32">
        <f>(E12-E13)*1.18+D14</f>
        <v>41.29122000000007</v>
      </c>
      <c r="F14" s="29">
        <f>(F12-F13)*1.18+E14</f>
        <v>43.212209999999985</v>
      </c>
      <c r="G14" s="29">
        <f>(G12-G13)*1.18+F14+G15</f>
        <v>57.07142000000002</v>
      </c>
      <c r="H14" s="29">
        <f>(H12-H13)*1.18+G14+H15</f>
        <v>-3.165243999999859</v>
      </c>
      <c r="I14" s="29">
        <f>(I12-I13)*1.18</f>
        <v>-3.165243999999438</v>
      </c>
    </row>
    <row r="15" spans="1:9" ht="12.75">
      <c r="A15" s="6"/>
      <c r="B15" s="12"/>
      <c r="C15" s="18"/>
      <c r="D15" s="18"/>
      <c r="E15" s="18"/>
      <c r="F15" s="22"/>
      <c r="G15" s="61"/>
      <c r="H15" s="97"/>
      <c r="I15" s="46"/>
    </row>
    <row r="16" spans="1:18" ht="31.5" customHeight="1">
      <c r="A16" s="6">
        <v>4</v>
      </c>
      <c r="B16" s="19" t="s">
        <v>2</v>
      </c>
      <c r="C16" s="29">
        <f aca="true" t="shared" si="0" ref="C16:H16">SUM(C17:C23)</f>
        <v>71.2175249189333</v>
      </c>
      <c r="D16" s="29">
        <f t="shared" si="0"/>
        <v>329.7243618647796</v>
      </c>
      <c r="E16" s="29">
        <f t="shared" si="0"/>
        <v>431.82666637855783</v>
      </c>
      <c r="F16" s="29">
        <f t="shared" si="0"/>
        <v>331.30954142027986</v>
      </c>
      <c r="G16" s="62">
        <f t="shared" si="0"/>
        <v>618.5641973675575</v>
      </c>
      <c r="H16" s="62">
        <f t="shared" si="0"/>
        <v>427.2983921466912</v>
      </c>
      <c r="I16" s="33">
        <f>E16+F16+G16+D16+C16+H16</f>
        <v>2209.9406840967995</v>
      </c>
      <c r="K16" s="60"/>
      <c r="L16" s="60"/>
      <c r="M16" s="60"/>
      <c r="N16" s="60"/>
      <c r="O16" s="60"/>
      <c r="P16" s="60"/>
      <c r="Q16" s="60"/>
      <c r="R16" s="60"/>
    </row>
    <row r="17" spans="1:9" ht="12.75">
      <c r="A17" s="28" t="s">
        <v>9</v>
      </c>
      <c r="B17" s="12" t="s">
        <v>4</v>
      </c>
      <c r="C17" s="29"/>
      <c r="D17" s="29">
        <f>'[7]кв2.д2'!$AT$44</f>
        <v>34.30209</v>
      </c>
      <c r="E17" s="29">
        <f>'[1]кв2.д2'!$AT$45</f>
        <v>37.1324071222</v>
      </c>
      <c r="F17" s="39">
        <f>'[6]кв2.д2'!$AT$45</f>
        <v>32.749777</v>
      </c>
      <c r="G17" s="39">
        <f>'[4]кв2.д2'!$AT$45</f>
        <v>66.81968</v>
      </c>
      <c r="H17" s="39">
        <f>'[9]кв2.д2'!$AT$45</f>
        <v>21.236109999999996</v>
      </c>
      <c r="I17" s="33">
        <f aca="true" t="shared" si="1" ref="I17:I23">E17+F17+G17+D17+C17+H17</f>
        <v>192.24006412219998</v>
      </c>
    </row>
    <row r="18" spans="1:9" ht="12.75">
      <c r="A18" s="28" t="s">
        <v>10</v>
      </c>
      <c r="B18" s="12" t="s">
        <v>14</v>
      </c>
      <c r="C18" s="29">
        <f>'[8]кв2.д2'!$AT$51+'[8]кв2.д2'!$AT$55</f>
        <v>35.68543599852</v>
      </c>
      <c r="D18" s="29">
        <f>'[7]кв2.д2'!$AT$51+'[7]кв2.д2'!$AT$55</f>
        <v>136.36518753299998</v>
      </c>
      <c r="E18" s="27">
        <f>'[1]кв2.д2'!$AT$54+'[1]кв2.д2'!$AT$58</f>
        <v>243.1939446814692</v>
      </c>
      <c r="F18" s="29">
        <f>'[6]кв2.д2'!$AT$54+'[6]кв2.д2'!$AT$58</f>
        <v>154.5757512301483</v>
      </c>
      <c r="G18" s="29">
        <f>'[4]кв2.д2'!$AT$54+'[4]кв2.д2'!$AT$58</f>
        <v>352.9213129616976</v>
      </c>
      <c r="H18" s="29">
        <f>'[9]кв2.д2'!$AT$54+'[9]кв2.д2'!$AT$58</f>
        <v>246.46555452980004</v>
      </c>
      <c r="I18" s="33">
        <f t="shared" si="1"/>
        <v>1169.2071869346353</v>
      </c>
    </row>
    <row r="19" spans="1:9" ht="12.75">
      <c r="A19" s="28" t="s">
        <v>11</v>
      </c>
      <c r="B19" s="12" t="s">
        <v>5</v>
      </c>
      <c r="C19" s="29">
        <f>'[8]кв2.д2'!$AT$83</f>
        <v>12.39385</v>
      </c>
      <c r="D19" s="29">
        <f>'[7]кв2.д2'!$AT$83</f>
        <v>56.46334</v>
      </c>
      <c r="E19" s="29">
        <f>'[1]кв2.д2'!$AT$81</f>
        <v>57.999425320169856</v>
      </c>
      <c r="F19" s="29">
        <f>'[6]кв2.д2'!$AT$81</f>
        <v>64.68698025483872</v>
      </c>
      <c r="G19" s="29">
        <f>'[4]кв2.д2'!$AT$81</f>
        <v>68.1267905</v>
      </c>
      <c r="H19" s="29">
        <f>'[9]кв2.д2'!$AT$81</f>
        <v>49.5050598</v>
      </c>
      <c r="I19" s="33">
        <f t="shared" si="1"/>
        <v>309.17544587500856</v>
      </c>
    </row>
    <row r="20" spans="1:9" ht="12.75">
      <c r="A20" s="28" t="s">
        <v>12</v>
      </c>
      <c r="B20" s="12" t="s">
        <v>6</v>
      </c>
      <c r="C20" s="29">
        <f>'[8]кв2.д2'!$AT$84</f>
        <v>0</v>
      </c>
      <c r="D20" s="29">
        <f>'[7]кв2.д2'!$AT$84</f>
        <v>23.39460359</v>
      </c>
      <c r="E20" s="29">
        <f>'[1]кв2.д2'!$AT$83</f>
        <v>7.833600000000003</v>
      </c>
      <c r="F20" s="29">
        <f>'[6]кв2.д2'!$AT$83</f>
        <v>4.190383965901169</v>
      </c>
      <c r="G20" s="29">
        <f>'[4]кв2.д2'!$AT$83</f>
        <v>21.407176044053127</v>
      </c>
      <c r="H20" s="29">
        <f>'[9]кв2.д2'!$AT$83</f>
        <v>56.67109089980247</v>
      </c>
      <c r="I20" s="33">
        <f t="shared" si="1"/>
        <v>113.49685449975678</v>
      </c>
    </row>
    <row r="21" spans="1:9" ht="12.75">
      <c r="A21" s="28" t="s">
        <v>13</v>
      </c>
      <c r="B21" s="12" t="s">
        <v>7</v>
      </c>
      <c r="C21" s="29">
        <f>'[8]кв2.д2'!$AT$124</f>
        <v>5.184648666176001</v>
      </c>
      <c r="D21" s="29">
        <f>'[7]кв2.д2'!$AT$124</f>
        <v>22.844476335</v>
      </c>
      <c r="E21" s="29">
        <f>'[1]кв2.д2'!$AT$123</f>
        <v>31.518497837957995</v>
      </c>
      <c r="F21" s="29">
        <f>'[6]кв2.д2'!$AT$123</f>
        <v>20.99561178295102</v>
      </c>
      <c r="G21" s="29">
        <f>'[4]кв2.д2'!$AT$123</f>
        <v>42.213260294444794</v>
      </c>
      <c r="H21" s="29">
        <f>'[9]кв2.д2'!$AT$123</f>
        <v>0</v>
      </c>
      <c r="I21" s="33">
        <f t="shared" si="1"/>
        <v>122.7564949165298</v>
      </c>
    </row>
    <row r="22" spans="1:9" ht="12.75">
      <c r="A22" s="28" t="s">
        <v>15</v>
      </c>
      <c r="B22" s="44" t="s">
        <v>19</v>
      </c>
      <c r="C22" s="29"/>
      <c r="D22" s="29">
        <f>'[7]кв2.д2'!$AT$82+'[7]кв2.д2'!$AT$79</f>
        <v>2.5303500000000003</v>
      </c>
      <c r="E22" s="29">
        <f>'[1]кв2.д2'!$AT$78+'[1]кв2.д2'!$AT$75+'[1]кв2.д2'!$AT$68+'[1]кв2.д2'!$AT$63</f>
        <v>0.2472460777777778</v>
      </c>
      <c r="F22" s="29">
        <f>'[6]кв2.д2'!$AT$79+'[6]кв2.д2'!$AT$78+'[6]кв2.д2'!$AT$68</f>
        <v>0.210791</v>
      </c>
      <c r="G22" s="29">
        <f>'[4]кв2.д2'!$AT$66-'[4]кв2.д2'!$AT$81</f>
        <v>0.49070044871795915</v>
      </c>
      <c r="H22" s="29">
        <f>'[9]кв2.д2'!$AT$66-'[9]кв2.д2'!$AT$81</f>
        <v>0.7102209848852112</v>
      </c>
      <c r="I22" s="33">
        <f t="shared" si="1"/>
        <v>4.189308511380949</v>
      </c>
    </row>
    <row r="23" spans="1:9" ht="13.5" thickBot="1">
      <c r="A23" s="28" t="s">
        <v>37</v>
      </c>
      <c r="B23" s="23" t="s">
        <v>38</v>
      </c>
      <c r="C23" s="29">
        <f aca="true" t="shared" si="2" ref="C23:H23">C12*15%</f>
        <v>17.95359025423729</v>
      </c>
      <c r="D23" s="29">
        <f t="shared" si="2"/>
        <v>53.82431440677966</v>
      </c>
      <c r="E23" s="29">
        <f t="shared" si="2"/>
        <v>53.901545338983055</v>
      </c>
      <c r="F23" s="29">
        <f t="shared" si="2"/>
        <v>53.900246186440675</v>
      </c>
      <c r="G23" s="29">
        <f t="shared" si="2"/>
        <v>66.58527711864407</v>
      </c>
      <c r="H23" s="29">
        <f t="shared" si="2"/>
        <v>52.71035593220339</v>
      </c>
      <c r="I23" s="33">
        <f t="shared" si="1"/>
        <v>298.87532923728816</v>
      </c>
    </row>
    <row r="24" spans="1:9" ht="13.5" thickBot="1">
      <c r="A24" s="24"/>
      <c r="B24" s="25"/>
      <c r="C24" s="41"/>
      <c r="D24" s="26"/>
      <c r="E24" s="26"/>
      <c r="F24" s="26"/>
      <c r="G24" s="26"/>
      <c r="H24" s="26"/>
      <c r="I24" s="26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9" ht="16.5" hidden="1">
      <c r="A26" s="48" t="s">
        <v>32</v>
      </c>
      <c r="B26" s="48"/>
      <c r="C26" s="48"/>
      <c r="D26" s="48"/>
      <c r="E26" s="48"/>
      <c r="F26" s="48"/>
      <c r="I26" s="48"/>
    </row>
    <row r="27" spans="2:9" ht="24.75" customHeight="1" hidden="1">
      <c r="B27" s="98" t="s">
        <v>34</v>
      </c>
      <c r="C27" s="184" t="s">
        <v>35</v>
      </c>
      <c r="D27" s="185"/>
      <c r="E27" s="185"/>
      <c r="F27" s="185"/>
      <c r="G27" s="185"/>
      <c r="H27" s="186"/>
      <c r="I27" s="55" t="s">
        <v>36</v>
      </c>
    </row>
    <row r="28" spans="2:9" ht="25.5" customHeight="1" hidden="1">
      <c r="B28" s="45" t="s">
        <v>90</v>
      </c>
      <c r="C28" s="181" t="s">
        <v>96</v>
      </c>
      <c r="D28" s="182"/>
      <c r="E28" s="182"/>
      <c r="F28" s="182"/>
      <c r="G28" s="182"/>
      <c r="H28" s="183"/>
      <c r="I28" s="56">
        <v>0.15</v>
      </c>
    </row>
    <row r="29" spans="2:9" ht="19.5" customHeight="1" hidden="1">
      <c r="B29" s="45" t="s">
        <v>90</v>
      </c>
      <c r="C29" s="181" t="s">
        <v>95</v>
      </c>
      <c r="D29" s="182"/>
      <c r="E29" s="182"/>
      <c r="F29" s="182"/>
      <c r="G29" s="182"/>
      <c r="H29" s="183"/>
      <c r="I29" s="56">
        <v>0.72543</v>
      </c>
    </row>
    <row r="30" spans="2:9" ht="18.75" customHeight="1" hidden="1">
      <c r="B30" s="45" t="s">
        <v>107</v>
      </c>
      <c r="C30" s="181" t="s">
        <v>109</v>
      </c>
      <c r="D30" s="182"/>
      <c r="E30" s="182"/>
      <c r="F30" s="182"/>
      <c r="G30" s="182"/>
      <c r="H30" s="183"/>
      <c r="I30" s="56">
        <v>1.29878</v>
      </c>
    </row>
    <row r="31" spans="2:9" s="2" customFormat="1" ht="12.75" hidden="1">
      <c r="B31" s="46"/>
      <c r="C31" s="181" t="s">
        <v>33</v>
      </c>
      <c r="D31" s="182"/>
      <c r="E31" s="182"/>
      <c r="F31" s="182"/>
      <c r="G31" s="182"/>
      <c r="H31" s="51"/>
      <c r="I31" s="47">
        <f>SUM(I28:I30)</f>
        <v>2.17421</v>
      </c>
    </row>
    <row r="32" spans="1:8" ht="23.25" customHeight="1">
      <c r="A32" s="9"/>
      <c r="B32" s="9"/>
      <c r="C32" s="9"/>
      <c r="D32" s="9"/>
      <c r="E32" s="9"/>
      <c r="F32" s="9"/>
      <c r="G32" s="9"/>
      <c r="H32" s="9"/>
    </row>
    <row r="33" spans="1:8" ht="48" customHeight="1">
      <c r="A33" s="179" t="s">
        <v>17</v>
      </c>
      <c r="B33" s="179"/>
      <c r="C33" s="30"/>
      <c r="D33" s="30"/>
      <c r="F33" s="9"/>
      <c r="G33" s="14" t="s">
        <v>57</v>
      </c>
      <c r="H33" s="14"/>
    </row>
    <row r="34" spans="1:9" ht="48" customHeight="1">
      <c r="A34" s="180" t="s">
        <v>79</v>
      </c>
      <c r="B34" s="180"/>
      <c r="C34" s="180"/>
      <c r="D34" s="14"/>
      <c r="F34" s="9"/>
      <c r="G34" s="14" t="s">
        <v>68</v>
      </c>
      <c r="H34" s="14"/>
      <c r="I34" s="1"/>
    </row>
    <row r="35" spans="1:10" ht="12.75">
      <c r="A35" s="9"/>
      <c r="B35" s="14"/>
      <c r="C35" s="14"/>
      <c r="D35" s="14"/>
      <c r="E35" s="14"/>
      <c r="F35" s="9"/>
      <c r="G35" s="9"/>
      <c r="H35" s="9"/>
      <c r="I35" s="1"/>
      <c r="J35" s="5"/>
    </row>
    <row r="36" spans="1:10" ht="12.75">
      <c r="A36" s="9"/>
      <c r="B36" s="11" t="s">
        <v>8</v>
      </c>
      <c r="C36" s="9"/>
      <c r="D36" s="9"/>
      <c r="E36" s="9"/>
      <c r="F36" s="9"/>
      <c r="G36" s="9"/>
      <c r="H36" s="9"/>
      <c r="I36" s="8"/>
      <c r="J36" s="1"/>
    </row>
    <row r="37" s="9" customFormat="1" ht="12.75">
      <c r="B37" s="9" t="s">
        <v>16</v>
      </c>
    </row>
    <row r="38" spans="2:4" s="9" customFormat="1" ht="12.75">
      <c r="B38" s="9" t="s">
        <v>40</v>
      </c>
      <c r="C38" s="11"/>
      <c r="D38" s="11"/>
    </row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>
      <c r="I47"/>
    </row>
    <row r="48" s="9" customFormat="1" ht="12.75">
      <c r="I48"/>
    </row>
  </sheetData>
  <sheetProtection/>
  <mergeCells count="10">
    <mergeCell ref="A5:F5"/>
    <mergeCell ref="B7:F7"/>
    <mergeCell ref="A8:F8"/>
    <mergeCell ref="A33:B33"/>
    <mergeCell ref="A34:C34"/>
    <mergeCell ref="C28:H28"/>
    <mergeCell ref="C27:H27"/>
    <mergeCell ref="C29:H29"/>
    <mergeCell ref="C30:H30"/>
    <mergeCell ref="C31:G31"/>
  </mergeCells>
  <printOptions/>
  <pageMargins left="0.61" right="0" top="0.984251968503937" bottom="0.984251968503937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R51"/>
  <sheetViews>
    <sheetView view="pageBreakPreview" zoomScaleSheetLayoutView="100" zoomScalePageLayoutView="0" workbookViewId="0" topLeftCell="C7">
      <selection activeCell="C44" sqref="C44"/>
    </sheetView>
  </sheetViews>
  <sheetFormatPr defaultColWidth="9.00390625" defaultRowHeight="12.75"/>
  <cols>
    <col min="1" max="1" width="8.125" style="0" customWidth="1"/>
    <col min="2" max="2" width="30.375" style="0" customWidth="1"/>
    <col min="3" max="3" width="11.25390625" style="0" customWidth="1"/>
    <col min="4" max="4" width="11.375" style="0" customWidth="1"/>
    <col min="5" max="5" width="11.75390625" style="0" customWidth="1"/>
    <col min="6" max="8" width="11.125" style="0" customWidth="1"/>
    <col min="10" max="10" width="9.625" style="0" bestFit="1" customWidth="1"/>
  </cols>
  <sheetData>
    <row r="6" spans="1:6" ht="26.25">
      <c r="A6" s="166" t="s">
        <v>3</v>
      </c>
      <c r="B6" s="166"/>
      <c r="C6" s="166"/>
      <c r="D6" s="166"/>
      <c r="E6" s="166"/>
      <c r="F6" s="166"/>
    </row>
    <row r="7" spans="1:8" s="2" customFormat="1" ht="15.75">
      <c r="A7" s="31"/>
      <c r="B7" s="167" t="s">
        <v>18</v>
      </c>
      <c r="C7" s="167"/>
      <c r="D7" s="167"/>
      <c r="E7" s="167"/>
      <c r="F7" s="167"/>
      <c r="G7" s="20"/>
      <c r="H7" s="20"/>
    </row>
    <row r="8" spans="1:8" s="2" customFormat="1" ht="15.75">
      <c r="A8" s="167" t="s">
        <v>125</v>
      </c>
      <c r="B8" s="167"/>
      <c r="C8" s="167"/>
      <c r="D8" s="167"/>
      <c r="E8" s="167"/>
      <c r="F8" s="167"/>
      <c r="G8" s="20"/>
      <c r="H8" s="119"/>
    </row>
    <row r="9" ht="13.5" thickBot="1"/>
    <row r="10" spans="1:9" s="4" customFormat="1" ht="48.75" customHeight="1">
      <c r="A10" s="3" t="s">
        <v>0</v>
      </c>
      <c r="B10" s="16" t="s">
        <v>1</v>
      </c>
      <c r="C10" s="17" t="s">
        <v>22</v>
      </c>
      <c r="D10" s="17" t="s">
        <v>20</v>
      </c>
      <c r="E10" s="17" t="s">
        <v>21</v>
      </c>
      <c r="F10" s="17" t="s">
        <v>27</v>
      </c>
      <c r="G10" s="17" t="s">
        <v>30</v>
      </c>
      <c r="H10" s="17" t="s">
        <v>71</v>
      </c>
      <c r="I10" s="17" t="s">
        <v>39</v>
      </c>
    </row>
    <row r="11" spans="1:9" ht="25.5">
      <c r="A11" s="6">
        <v>1</v>
      </c>
      <c r="B11" s="19" t="s">
        <v>122</v>
      </c>
      <c r="C11" s="34">
        <f>143.78359/1.18</f>
        <v>121.85050000000001</v>
      </c>
      <c r="D11" s="35">
        <v>365.493</v>
      </c>
      <c r="E11" s="36">
        <v>365.726</v>
      </c>
      <c r="F11" s="33">
        <f>431.607/1.18</f>
        <v>365.76864406779663</v>
      </c>
      <c r="G11" s="33">
        <f>'[2]07.12'!$W$12/1.18/1000</f>
        <v>451.6624576271185</v>
      </c>
      <c r="H11" s="33">
        <f>'[12]01.13'!$W$12/1.18/1000</f>
        <v>358.68423728813565</v>
      </c>
      <c r="I11" s="33">
        <f>E11+F11+G11+D11+C11+H11</f>
        <v>2029.1848389830507</v>
      </c>
    </row>
    <row r="12" spans="1:9" ht="25.5">
      <c r="A12" s="6">
        <v>2</v>
      </c>
      <c r="B12" s="19" t="s">
        <v>123</v>
      </c>
      <c r="C12" s="37">
        <f>120.8524/1.18</f>
        <v>102.41728813559322</v>
      </c>
      <c r="D12" s="38">
        <f>419.30458/1.18</f>
        <v>355.34286440677965</v>
      </c>
      <c r="E12" s="38">
        <f>408.86259/1.18</f>
        <v>346.49372033898305</v>
      </c>
      <c r="F12" s="29">
        <f>441.95027/1.18</f>
        <v>374.53412711864405</v>
      </c>
      <c r="G12" s="29">
        <f>'[2]07.12'!$X$12/1.18/1000</f>
        <v>441.57877966101694</v>
      </c>
      <c r="H12" s="29">
        <f>'[12]01.13'!$X$12/1.18/1000-(25.7868200000001/1.18)</f>
        <v>408.8180593220339</v>
      </c>
      <c r="I12" s="33">
        <f aca="true" t="shared" si="0" ref="I12:I22">E12+F12+G12+D12+C12+H12</f>
        <v>2029.184838983051</v>
      </c>
    </row>
    <row r="13" spans="1:9" ht="25.5">
      <c r="A13" s="6">
        <v>3</v>
      </c>
      <c r="B13" s="19" t="s">
        <v>117</v>
      </c>
      <c r="C13" s="32">
        <f>(C11-C12)*1.18</f>
        <v>22.931190000000008</v>
      </c>
      <c r="D13" s="32">
        <f>(D11-D12)*1.18+C13</f>
        <v>34.90835000000001</v>
      </c>
      <c r="E13" s="32">
        <f>(E11-E12)*1.18+D13</f>
        <v>57.60244000000001</v>
      </c>
      <c r="F13" s="29">
        <f>(F11-F12)*1.18+E13</f>
        <v>47.259170000000054</v>
      </c>
      <c r="G13" s="29">
        <f>(G11-G12)*1.18+F13+G14</f>
        <v>59.157909999999895</v>
      </c>
      <c r="H13" s="29">
        <f>(H11-H12)*1.18+G13+H14</f>
        <v>-2.842170943040401E-14</v>
      </c>
      <c r="I13" s="29">
        <f>H13</f>
        <v>-2.842170943040401E-14</v>
      </c>
    </row>
    <row r="14" spans="1:9" ht="12.75">
      <c r="A14" s="6"/>
      <c r="B14" s="12"/>
      <c r="C14" s="18"/>
      <c r="D14" s="18"/>
      <c r="E14" s="18"/>
      <c r="F14" s="22"/>
      <c r="G14" s="40"/>
      <c r="H14" s="40"/>
      <c r="I14" s="33">
        <f t="shared" si="0"/>
        <v>0</v>
      </c>
    </row>
    <row r="15" spans="1:18" ht="31.5" customHeight="1">
      <c r="A15" s="6">
        <v>4</v>
      </c>
      <c r="B15" s="19" t="s">
        <v>2</v>
      </c>
      <c r="C15" s="29">
        <f aca="true" t="shared" si="1" ref="C15:H15">SUM(C16:C22)</f>
        <v>77.19017966469599</v>
      </c>
      <c r="D15" s="29">
        <f t="shared" si="1"/>
        <v>398.1708714594</v>
      </c>
      <c r="E15" s="29">
        <f t="shared" si="1"/>
        <v>424.5305263271734</v>
      </c>
      <c r="F15" s="29">
        <f t="shared" si="1"/>
        <v>432.6890514114576</v>
      </c>
      <c r="G15" s="29">
        <f t="shared" si="1"/>
        <v>615.2487163815016</v>
      </c>
      <c r="H15" s="29">
        <f t="shared" si="1"/>
        <v>431.6428332532753</v>
      </c>
      <c r="I15" s="33">
        <f t="shared" si="0"/>
        <v>2379.472178497504</v>
      </c>
      <c r="J15" s="60"/>
      <c r="K15" s="60"/>
      <c r="L15" s="60"/>
      <c r="M15" s="60"/>
      <c r="N15" s="60"/>
      <c r="O15" s="60"/>
      <c r="P15" s="60"/>
      <c r="Q15" s="60"/>
      <c r="R15" s="60"/>
    </row>
    <row r="16" spans="1:10" ht="12.75">
      <c r="A16" s="28" t="s">
        <v>9</v>
      </c>
      <c r="B16" s="12" t="s">
        <v>31</v>
      </c>
      <c r="C16" s="29">
        <f>'[8]кв2.д3'!$AT$44</f>
        <v>13.21581</v>
      </c>
      <c r="D16" s="29">
        <f>'[7]кв2.д3'!$AT$44</f>
        <v>51.84485</v>
      </c>
      <c r="E16" s="29">
        <f>'[1]кв2.д3'!$AT$45</f>
        <v>29.121097122200005</v>
      </c>
      <c r="F16" s="39">
        <f>'[6]кв2.д3'!$AT$45</f>
        <v>54.219847</v>
      </c>
      <c r="G16" s="39">
        <f>'[4]кв2.д3'!$AT$45</f>
        <v>56.056850000000004</v>
      </c>
      <c r="H16" s="39">
        <f>'[9]кв2.д3'!$AT$45</f>
        <v>13.564250000000001</v>
      </c>
      <c r="I16" s="33">
        <f t="shared" si="0"/>
        <v>218.02270412220003</v>
      </c>
      <c r="J16" s="92"/>
    </row>
    <row r="17" spans="1:10" ht="12.75">
      <c r="A17" s="28" t="s">
        <v>10</v>
      </c>
      <c r="B17" s="12" t="s">
        <v>14</v>
      </c>
      <c r="C17" s="29">
        <f>'[8]кв2.д3'!$AT$51+'[8]кв2.д3'!$AT$55</f>
        <v>29.016815998519995</v>
      </c>
      <c r="D17" s="29">
        <f>'[7]кв2.д3'!$AT$51+'[7]кв2.д3'!$AT$55</f>
        <v>176.01503160289997</v>
      </c>
      <c r="E17" s="29">
        <f>'[1]кв2.д3'!$AT$54+'[1]кв2.д3'!$AT$58</f>
        <v>244.5032436727238</v>
      </c>
      <c r="F17" s="29">
        <f>'[6]кв2.д3'!$AT$54+'[6]кв2.д3'!$AT$58</f>
        <v>188.92612797207528</v>
      </c>
      <c r="G17" s="29">
        <f>'[4]кв2.д3'!$AT$54+'[4]кв2.д3'!$AT$58</f>
        <v>359.089958180424</v>
      </c>
      <c r="H17" s="29">
        <f>'[9]кв2.д3'!$AT$54+'[9]кв2.д3'!$AT$58</f>
        <v>251.56978896503188</v>
      </c>
      <c r="I17" s="33">
        <f t="shared" si="0"/>
        <v>1249.1209663916748</v>
      </c>
      <c r="J17" s="92"/>
    </row>
    <row r="18" spans="1:9" ht="12.75">
      <c r="A18" s="28" t="s">
        <v>11</v>
      </c>
      <c r="B18" s="12" t="s">
        <v>5</v>
      </c>
      <c r="C18" s="29">
        <f>'[8]кв2.д3'!$AT$83</f>
        <v>12.46785</v>
      </c>
      <c r="D18" s="29">
        <f>'[7]кв2.д3'!$AT$83</f>
        <v>55.29545</v>
      </c>
      <c r="E18" s="29">
        <f>'[1]кв2.д3'!$AT$81</f>
        <v>58.92734098552244</v>
      </c>
      <c r="F18" s="29">
        <f>'[6]кв2.д3'!$AT$81</f>
        <v>101.61474969049236</v>
      </c>
      <c r="G18" s="29">
        <f>'[4]кв2.д3'!$AT$81</f>
        <v>69.400308</v>
      </c>
      <c r="H18" s="29">
        <f>'[9]кв2.д3'!$AT$81</f>
        <v>50.38864</v>
      </c>
      <c r="I18" s="33">
        <f t="shared" si="0"/>
        <v>348.0943386760148</v>
      </c>
    </row>
    <row r="19" spans="1:9" ht="12.75">
      <c r="A19" s="28" t="s">
        <v>12</v>
      </c>
      <c r="B19" s="12" t="s">
        <v>6</v>
      </c>
      <c r="C19" s="29">
        <f>'[8]кв2.д3'!$AT$84</f>
        <v>0</v>
      </c>
      <c r="D19" s="29">
        <f>'[7]кв2.д3'!$AT$84</f>
        <v>28.393910390000006</v>
      </c>
      <c r="E19" s="29">
        <f>'[1]кв2.д3'!$AT$83</f>
        <v>4.246599999999999</v>
      </c>
      <c r="F19" s="29">
        <f>'[6]кв2.д3'!$AT$83</f>
        <v>3.960388555659364</v>
      </c>
      <c r="G19" s="29">
        <f>'[4]кв2.д3'!$AT$83</f>
        <v>20.35289680924637</v>
      </c>
      <c r="H19" s="29">
        <f>'[9]кв2.д3'!$AT$83</f>
        <v>61.689010670987095</v>
      </c>
      <c r="I19" s="33">
        <f t="shared" si="0"/>
        <v>118.64280642589284</v>
      </c>
    </row>
    <row r="20" spans="1:9" ht="12.75">
      <c r="A20" s="28" t="s">
        <v>13</v>
      </c>
      <c r="B20" s="12" t="s">
        <v>7</v>
      </c>
      <c r="C20" s="29">
        <f>'[8]кв2.д3'!$AT$124</f>
        <v>4.2121286661760005</v>
      </c>
      <c r="D20" s="29">
        <f>'[7]кв2.д3'!$AT$124</f>
        <v>29.4473294665</v>
      </c>
      <c r="E20" s="29">
        <f>'[1]кв2.д3'!$AT$123</f>
        <v>32.62609846894935</v>
      </c>
      <c r="F20" s="29">
        <f>'[6]кв2.д3'!$AT$123</f>
        <v>25.126880583061094</v>
      </c>
      <c r="G20" s="29">
        <f>'[4]кв2.д3'!$AT$123</f>
        <v>42.108634299045505</v>
      </c>
      <c r="H20" s="29">
        <f>'[9]кв2.д3'!$AT$123</f>
        <v>0</v>
      </c>
      <c r="I20" s="33">
        <f t="shared" si="0"/>
        <v>133.52107148373196</v>
      </c>
    </row>
    <row r="21" spans="1:9" ht="12.75">
      <c r="A21" s="28" t="s">
        <v>15</v>
      </c>
      <c r="B21" s="44" t="s">
        <v>19</v>
      </c>
      <c r="C21" s="29"/>
      <c r="D21" s="29">
        <f>'[7]кв2.д3'!$AT$82</f>
        <v>2.35035</v>
      </c>
      <c r="E21" s="29">
        <f>'[1]кв2.д3'!$AT$75+'[1]кв2.д3'!$AT$78+'[1]кв2.д3'!$AT$68+'[1]кв2.д3'!$AT$63</f>
        <v>0.2472460777777778</v>
      </c>
      <c r="F21" s="29">
        <f>'[6]кв2.д3'!$AT$79+'[6]кв2.д3'!$AT$78+'[6]кв2.д3'!$AT$68</f>
        <v>3.9757610000000003</v>
      </c>
      <c r="G21" s="29">
        <f>'[4]кв2.д3'!$AT$66-'[4]кв2.д3'!$AT$81</f>
        <v>0.49070044871794494</v>
      </c>
      <c r="H21" s="29">
        <f>'[9]кв2.д3'!$AT$66-'[9]кв2.д3'!$AT$81</f>
        <v>0.6285080240358951</v>
      </c>
      <c r="I21" s="33">
        <f t="shared" si="0"/>
        <v>7.692565550531619</v>
      </c>
    </row>
    <row r="22" spans="1:9" ht="13.5" thickBot="1">
      <c r="A22" s="28" t="s">
        <v>37</v>
      </c>
      <c r="B22" s="23" t="s">
        <v>38</v>
      </c>
      <c r="C22" s="29">
        <f aca="true" t="shared" si="2" ref="C22:H22">C11*15%</f>
        <v>18.277575000000002</v>
      </c>
      <c r="D22" s="29">
        <f t="shared" si="2"/>
        <v>54.823949999999996</v>
      </c>
      <c r="E22" s="29">
        <f t="shared" si="2"/>
        <v>54.8589</v>
      </c>
      <c r="F22" s="29">
        <f t="shared" si="2"/>
        <v>54.865296610169494</v>
      </c>
      <c r="G22" s="29">
        <f t="shared" si="2"/>
        <v>67.74936864406777</v>
      </c>
      <c r="H22" s="29">
        <f t="shared" si="2"/>
        <v>53.802635593220344</v>
      </c>
      <c r="I22" s="33">
        <f t="shared" si="0"/>
        <v>304.3777258474576</v>
      </c>
    </row>
    <row r="23" spans="1:9" ht="13.5" thickBot="1">
      <c r="A23" s="24"/>
      <c r="B23" s="25"/>
      <c r="C23" s="41"/>
      <c r="D23" s="26"/>
      <c r="E23" s="26"/>
      <c r="F23" s="26"/>
      <c r="G23" s="26"/>
      <c r="H23" s="26"/>
      <c r="I23" s="26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2:9" ht="16.5" hidden="1">
      <c r="B25" s="48" t="s">
        <v>32</v>
      </c>
      <c r="C25" s="65"/>
      <c r="D25" s="48"/>
      <c r="E25" s="48"/>
      <c r="F25" s="48"/>
      <c r="I25" s="48"/>
    </row>
    <row r="26" spans="2:9" ht="24.75" customHeight="1" hidden="1">
      <c r="B26" s="99" t="s">
        <v>34</v>
      </c>
      <c r="C26" s="191" t="s">
        <v>35</v>
      </c>
      <c r="D26" s="192"/>
      <c r="E26" s="192"/>
      <c r="F26" s="192"/>
      <c r="G26" s="192"/>
      <c r="H26" s="193"/>
      <c r="I26" s="100" t="s">
        <v>36</v>
      </c>
    </row>
    <row r="27" spans="2:9" ht="17.25" customHeight="1" hidden="1">
      <c r="B27" s="45" t="s">
        <v>90</v>
      </c>
      <c r="C27" s="181" t="s">
        <v>97</v>
      </c>
      <c r="D27" s="182"/>
      <c r="E27" s="182"/>
      <c r="F27" s="182"/>
      <c r="G27" s="182"/>
      <c r="H27" s="187"/>
      <c r="I27" s="39">
        <v>1.52649</v>
      </c>
    </row>
    <row r="28" spans="2:9" ht="16.5" customHeight="1" hidden="1">
      <c r="B28" s="45"/>
      <c r="C28" s="181"/>
      <c r="D28" s="182"/>
      <c r="E28" s="182"/>
      <c r="F28" s="182"/>
      <c r="G28" s="182"/>
      <c r="H28" s="187"/>
      <c r="I28" s="39"/>
    </row>
    <row r="29" spans="2:9" s="2" customFormat="1" ht="12.75" hidden="1">
      <c r="B29" s="46"/>
      <c r="C29" s="188" t="s">
        <v>33</v>
      </c>
      <c r="D29" s="189"/>
      <c r="E29" s="189"/>
      <c r="F29" s="189"/>
      <c r="G29" s="189"/>
      <c r="H29" s="190"/>
      <c r="I29" s="29">
        <f>SUM(I27:I28)</f>
        <v>1.52649</v>
      </c>
    </row>
    <row r="30" spans="1:9" ht="12.75">
      <c r="A30" s="9"/>
      <c r="B30" s="9"/>
      <c r="C30" s="9"/>
      <c r="D30" s="9"/>
      <c r="E30" s="9"/>
      <c r="F30" s="9"/>
      <c r="G30" s="9"/>
      <c r="H30" s="9"/>
      <c r="I30" s="92"/>
    </row>
    <row r="31" spans="1:8" ht="68.25" customHeight="1">
      <c r="A31" s="179"/>
      <c r="B31" s="179"/>
      <c r="C31" s="30"/>
      <c r="D31" s="30"/>
      <c r="F31" s="9"/>
      <c r="G31" s="14"/>
      <c r="H31" s="14">
        <v>-25.7868200000001</v>
      </c>
    </row>
    <row r="32" spans="1:9" ht="48" customHeight="1">
      <c r="A32" s="95" t="s">
        <v>135</v>
      </c>
      <c r="B32" s="14"/>
      <c r="C32" s="14"/>
      <c r="D32" s="14"/>
      <c r="F32" s="9"/>
      <c r="G32" s="14" t="s">
        <v>136</v>
      </c>
      <c r="H32" s="14"/>
      <c r="I32" s="1"/>
    </row>
    <row r="33" spans="1:10" ht="12.75">
      <c r="A33" s="9"/>
      <c r="B33" s="14"/>
      <c r="C33" s="14"/>
      <c r="D33" s="14"/>
      <c r="E33" s="14"/>
      <c r="F33" s="9"/>
      <c r="G33" s="9"/>
      <c r="H33" s="9"/>
      <c r="I33" s="1"/>
      <c r="J33" s="5"/>
    </row>
    <row r="34" spans="2:10" ht="12.75">
      <c r="B34" s="9"/>
      <c r="C34" s="9"/>
      <c r="D34" s="9"/>
      <c r="E34" s="9"/>
      <c r="F34" s="9"/>
      <c r="G34" s="9"/>
      <c r="H34" s="9"/>
      <c r="I34" s="8"/>
      <c r="J34" s="1"/>
    </row>
    <row r="35" spans="2:10" s="2" customFormat="1" ht="12.75">
      <c r="B35" s="14"/>
      <c r="C35" s="14"/>
      <c r="D35" s="14"/>
      <c r="E35" s="14"/>
      <c r="F35" s="14"/>
      <c r="G35" s="14"/>
      <c r="H35" s="14"/>
      <c r="I35" s="8"/>
      <c r="J35" s="7"/>
    </row>
    <row r="36" spans="1:10" s="9" customFormat="1" ht="12.75">
      <c r="A36" s="11" t="s">
        <v>8</v>
      </c>
      <c r="I36"/>
      <c r="J36" s="7"/>
    </row>
    <row r="37" spans="1:10" s="9" customFormat="1" ht="12.75">
      <c r="A37" s="9" t="s">
        <v>16</v>
      </c>
      <c r="J37" s="7"/>
    </row>
    <row r="38" spans="1:9" ht="12.75">
      <c r="A38" s="9" t="s">
        <v>40</v>
      </c>
      <c r="C38" s="9"/>
      <c r="D38" s="9"/>
      <c r="E38" s="9"/>
      <c r="F38" s="9"/>
      <c r="G38" s="9"/>
      <c r="H38" s="9"/>
      <c r="I38" s="9"/>
    </row>
    <row r="39" s="9" customFormat="1" ht="12.75"/>
    <row r="40" s="9" customFormat="1" ht="12.75"/>
    <row r="41" spans="3:4" s="9" customFormat="1" ht="12.75">
      <c r="C41" s="11"/>
      <c r="D41" s="11"/>
    </row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>
      <c r="I50"/>
    </row>
    <row r="51" s="9" customFormat="1" ht="12.75">
      <c r="I51"/>
    </row>
  </sheetData>
  <sheetProtection/>
  <mergeCells count="8">
    <mergeCell ref="A6:F6"/>
    <mergeCell ref="B7:F7"/>
    <mergeCell ref="A8:F8"/>
    <mergeCell ref="A31:B31"/>
    <mergeCell ref="C27:H27"/>
    <mergeCell ref="C28:H28"/>
    <mergeCell ref="C29:H29"/>
    <mergeCell ref="C26:H26"/>
  </mergeCells>
  <printOptions/>
  <pageMargins left="0.61" right="0" top="0.984251968503937" bottom="0.984251968503937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57"/>
  <sheetViews>
    <sheetView view="pageBreakPreview" zoomScaleSheetLayoutView="100" zoomScalePageLayoutView="0" workbookViewId="0" topLeftCell="B10">
      <selection activeCell="C44" sqref="C44"/>
    </sheetView>
  </sheetViews>
  <sheetFormatPr defaultColWidth="9.00390625" defaultRowHeight="12.75"/>
  <cols>
    <col min="1" max="1" width="7.625" style="0" customWidth="1"/>
    <col min="2" max="2" width="42.00390625" style="0" customWidth="1"/>
    <col min="3" max="3" width="9.625" style="0" customWidth="1"/>
    <col min="4" max="6" width="11.125" style="0" customWidth="1"/>
    <col min="8" max="8" width="9.625" style="0" bestFit="1" customWidth="1"/>
  </cols>
  <sheetData>
    <row r="5" spans="1:4" ht="26.25">
      <c r="A5" s="166" t="s">
        <v>3</v>
      </c>
      <c r="B5" s="166"/>
      <c r="C5" s="166"/>
      <c r="D5" s="166"/>
    </row>
    <row r="7" spans="1:6" s="2" customFormat="1" ht="15.75">
      <c r="A7" s="31"/>
      <c r="B7" s="167" t="s">
        <v>18</v>
      </c>
      <c r="C7" s="167"/>
      <c r="D7" s="167"/>
      <c r="E7" s="20"/>
      <c r="F7" s="20"/>
    </row>
    <row r="8" spans="1:6" s="2" customFormat="1" ht="15.75">
      <c r="A8" s="167" t="s">
        <v>126</v>
      </c>
      <c r="B8" s="167"/>
      <c r="C8" s="167"/>
      <c r="D8" s="167"/>
      <c r="E8" s="20"/>
      <c r="F8" s="20"/>
    </row>
    <row r="9" s="2" customFormat="1" ht="12.75">
      <c r="B9" s="21"/>
    </row>
    <row r="10" spans="2:6" s="2" customFormat="1" ht="12.75">
      <c r="B10" s="20"/>
      <c r="C10" s="20"/>
      <c r="D10" s="20"/>
      <c r="E10" s="20"/>
      <c r="F10" s="20"/>
    </row>
    <row r="11" s="2" customFormat="1" ht="12.75">
      <c r="B11" s="1"/>
    </row>
    <row r="12" ht="13.5" thickBot="1"/>
    <row r="13" spans="1:7" s="4" customFormat="1" ht="48.75" customHeight="1">
      <c r="A13" s="3" t="s">
        <v>0</v>
      </c>
      <c r="B13" s="16" t="s">
        <v>1</v>
      </c>
      <c r="C13" s="17" t="s">
        <v>24</v>
      </c>
      <c r="D13" s="17" t="s">
        <v>27</v>
      </c>
      <c r="E13" s="17" t="s">
        <v>30</v>
      </c>
      <c r="F13" s="17" t="s">
        <v>71</v>
      </c>
      <c r="G13" s="17" t="s">
        <v>39</v>
      </c>
    </row>
    <row r="14" spans="1:7" ht="25.5">
      <c r="A14" s="6">
        <v>1</v>
      </c>
      <c r="B14" s="19" t="s">
        <v>116</v>
      </c>
      <c r="C14" s="42">
        <f>44.85701/1.18</f>
        <v>38.01441525423729</v>
      </c>
      <c r="D14" s="33">
        <f>134.67121/1.18</f>
        <v>114.12814406779661</v>
      </c>
      <c r="E14" s="33">
        <f>'[2]07.12'!$W$14/1.18/1000</f>
        <v>136.58925423728812</v>
      </c>
      <c r="F14" s="33">
        <f>'[12]01.13'!$W$14/1.18/1000</f>
        <v>92.65751694915255</v>
      </c>
      <c r="G14" s="33">
        <f>C14+D14+E14</f>
        <v>288.731813559322</v>
      </c>
    </row>
    <row r="15" spans="1:7" ht="25.5">
      <c r="A15" s="6">
        <v>2</v>
      </c>
      <c r="B15" s="19" t="s">
        <v>123</v>
      </c>
      <c r="C15" s="42">
        <f>31.49542/1.18</f>
        <v>26.691033898305086</v>
      </c>
      <c r="D15" s="29">
        <f>133.71546/1.18</f>
        <v>113.31818644067798</v>
      </c>
      <c r="E15" s="29">
        <f>'[2]07.12'!$X$14/1.18/1000</f>
        <v>133.26457627118643</v>
      </c>
      <c r="F15" s="29">
        <f>'[12]01.13'!$X$14/1.18/1000</f>
        <v>114.21674576271187</v>
      </c>
      <c r="G15" s="33">
        <f>C15+D15+E15</f>
        <v>273.2737966101695</v>
      </c>
    </row>
    <row r="16" spans="1:7" ht="25.5">
      <c r="A16" s="6">
        <v>3</v>
      </c>
      <c r="B16" s="19" t="s">
        <v>124</v>
      </c>
      <c r="C16" s="29">
        <f>(C14-C15)*1.18</f>
        <v>13.361590000000001</v>
      </c>
      <c r="D16" s="29">
        <f>(D14-D15)*1.18+C16</f>
        <v>14.31733999999999</v>
      </c>
      <c r="E16" s="29">
        <f>(E14-E15)*1.18+D16+E17</f>
        <v>18.240459999999985</v>
      </c>
      <c r="F16" s="29">
        <f>(F14-F15)*1.18+E16+F17</f>
        <v>-7.199430000000007</v>
      </c>
      <c r="G16" s="29">
        <f>F16</f>
        <v>-7.199430000000007</v>
      </c>
    </row>
    <row r="17" spans="1:7" ht="12.75">
      <c r="A17" s="6"/>
      <c r="B17" s="12"/>
      <c r="C17" s="18"/>
      <c r="D17" s="22"/>
      <c r="E17" s="61"/>
      <c r="F17" s="97"/>
      <c r="G17" s="46"/>
    </row>
    <row r="18" spans="1:16" ht="31.5" customHeight="1">
      <c r="A18" s="6">
        <v>4</v>
      </c>
      <c r="B18" s="19" t="s">
        <v>2</v>
      </c>
      <c r="C18" s="29">
        <f>SUM(C19:C25)</f>
        <v>40.458758918227005</v>
      </c>
      <c r="D18" s="29">
        <f>SUM(D19:D25)</f>
        <v>265.13934333836073</v>
      </c>
      <c r="E18" s="62">
        <f>SUM(E19:E25)</f>
        <v>200.1433417898367</v>
      </c>
      <c r="F18" s="62">
        <f>SUM(F19:F25)</f>
        <v>98.66559995007823</v>
      </c>
      <c r="G18" s="29">
        <f aca="true" t="shared" si="0" ref="G18:G24">E18+D18+C18</f>
        <v>505.7414440464245</v>
      </c>
      <c r="H18" s="60"/>
      <c r="I18" s="60"/>
      <c r="J18" s="60"/>
      <c r="K18" s="60"/>
      <c r="L18" s="60"/>
      <c r="M18" s="60"/>
      <c r="N18" s="60"/>
      <c r="O18" s="60"/>
      <c r="P18" s="60"/>
    </row>
    <row r="19" spans="1:7" ht="12.75">
      <c r="A19" s="28" t="s">
        <v>9</v>
      </c>
      <c r="B19" s="12" t="s">
        <v>4</v>
      </c>
      <c r="C19" s="29">
        <f>'[1]кв.4д8'!$AT$45</f>
        <v>2.392307122200003</v>
      </c>
      <c r="D19" s="39">
        <f>'[6]кв.4д8'!$AT$45</f>
        <v>49.048287</v>
      </c>
      <c r="E19" s="39">
        <f>'[4]кв.4д8'!$AT$45</f>
        <v>11.669979999999999</v>
      </c>
      <c r="F19" s="39">
        <f>'[9]кв.4д8'!$AT$45</f>
        <v>0.93363</v>
      </c>
      <c r="G19" s="29">
        <f t="shared" si="0"/>
        <v>63.1105741222</v>
      </c>
    </row>
    <row r="20" spans="1:7" ht="12.75">
      <c r="A20" s="28" t="s">
        <v>10</v>
      </c>
      <c r="B20" s="12" t="s">
        <v>14</v>
      </c>
      <c r="C20" s="27">
        <f>'[1]кв.4д8'!$AT$54+'[1]кв.4д8'!$AT$58</f>
        <v>21.08120264954697</v>
      </c>
      <c r="D20" s="29">
        <f>'[6]кв.4д8'!$AT$54+'[6]кв.4д8'!$AT$58</f>
        <v>147.90604580812436</v>
      </c>
      <c r="E20" s="29">
        <f>'[4]кв.4д8'!$AT$54+'[4]кв.4д8'!$AT$58</f>
        <v>106.13528025105435</v>
      </c>
      <c r="F20" s="29">
        <f>'[9]кв.4д8'!$AT$54+'[9]кв.4д8'!$AT$58</f>
        <v>61.589839635898386</v>
      </c>
      <c r="G20" s="29">
        <f t="shared" si="0"/>
        <v>275.12252870872567</v>
      </c>
    </row>
    <row r="21" spans="1:7" ht="12.75">
      <c r="A21" s="28" t="s">
        <v>11</v>
      </c>
      <c r="B21" s="12" t="s">
        <v>5</v>
      </c>
      <c r="C21" s="29">
        <f>'[1]кв.4д8'!$AT$81</f>
        <v>8.671836443935813</v>
      </c>
      <c r="D21" s="29">
        <f>'[6]кв.4д8'!$AT$81</f>
        <v>21.9421494447205</v>
      </c>
      <c r="E21" s="29">
        <f>'[4]кв.4д8'!$AT$81</f>
        <v>39.54969929999999</v>
      </c>
      <c r="F21" s="29">
        <f>'[9]кв.4д8'!$AT$81</f>
        <v>13.0150986</v>
      </c>
      <c r="G21" s="29">
        <f t="shared" si="0"/>
        <v>70.1636851886563</v>
      </c>
    </row>
    <row r="22" spans="1:7" ht="12.75">
      <c r="A22" s="28" t="s">
        <v>12</v>
      </c>
      <c r="B22" s="12" t="s">
        <v>6</v>
      </c>
      <c r="C22" s="29">
        <f>'[1]кв.4д8'!$AT$83</f>
        <v>0.28860000000000063</v>
      </c>
      <c r="D22" s="29">
        <f>'[6]кв.4д8'!$AT$83</f>
        <v>4.7391583727232005</v>
      </c>
      <c r="E22" s="29">
        <f>'[4]кв.4д8'!$AT$83</f>
        <v>6.66582916109857</v>
      </c>
      <c r="F22" s="29">
        <f>'[9]кв.4д8'!$AT$83</f>
        <v>9.042882760607524</v>
      </c>
      <c r="G22" s="29">
        <f t="shared" si="0"/>
        <v>11.693587533821772</v>
      </c>
    </row>
    <row r="23" spans="1:7" ht="12.75">
      <c r="A23" s="28" t="s">
        <v>13</v>
      </c>
      <c r="B23" s="12" t="s">
        <v>7</v>
      </c>
      <c r="C23" s="29">
        <f>'[1]кв.4д8'!$AT$123</f>
        <v>2.1461043366308408</v>
      </c>
      <c r="D23" s="29">
        <f>'[6]кв.4д8'!$AT$123</f>
        <v>24.17369010262317</v>
      </c>
      <c r="E23" s="29">
        <f>'[4]кв.4д8'!$AT$123</f>
        <v>15.143464493372623</v>
      </c>
      <c r="F23" s="29">
        <f>'[9]кв.4д8'!$AT$123</f>
        <v>0</v>
      </c>
      <c r="G23" s="29">
        <f t="shared" si="0"/>
        <v>41.46325893262663</v>
      </c>
    </row>
    <row r="24" spans="1:7" ht="12.75">
      <c r="A24" s="28" t="s">
        <v>15</v>
      </c>
      <c r="B24" s="44" t="s">
        <v>19</v>
      </c>
      <c r="C24" s="29">
        <f>'[1]кв.4д8'!$AT$78+'[1]кв.4д8'!$AT$75+'[1]кв.4д8'!$AT$68+'[1]кв.4д8'!$AT$63</f>
        <v>0.17654607777777778</v>
      </c>
      <c r="D24" s="29">
        <f>'[6]кв.4д8'!$AT$79+'[6]кв.4д8'!$AT$78+'[6]кв.4д8'!$AT$68</f>
        <v>0.210791</v>
      </c>
      <c r="E24" s="29">
        <f>'[4]кв.4д8'!$AT$66-'[4]кв.4д8'!$AT$81</f>
        <v>0.49070044871795204</v>
      </c>
      <c r="F24" s="29">
        <f>'[9]кв.4д8'!$AT$66-'[9]кв.4д8'!$AT$81</f>
        <v>0.18552141119944743</v>
      </c>
      <c r="G24" s="29">
        <f t="shared" si="0"/>
        <v>0.8780375264957297</v>
      </c>
    </row>
    <row r="25" spans="1:7" ht="13.5" thickBot="1">
      <c r="A25" s="28" t="s">
        <v>37</v>
      </c>
      <c r="B25" s="23" t="s">
        <v>38</v>
      </c>
      <c r="C25" s="29">
        <f>C14*15%</f>
        <v>5.702162288135594</v>
      </c>
      <c r="D25" s="29">
        <f>D14*15%</f>
        <v>17.11922161016949</v>
      </c>
      <c r="E25" s="29">
        <f>E14*15%</f>
        <v>20.488388135593215</v>
      </c>
      <c r="F25" s="29">
        <f>F14*15%</f>
        <v>13.898627542372882</v>
      </c>
      <c r="G25" s="29">
        <f>G14*15%</f>
        <v>43.3097720338983</v>
      </c>
    </row>
    <row r="26" spans="1:7" ht="13.5" thickBot="1">
      <c r="A26" s="24"/>
      <c r="B26" s="25"/>
      <c r="C26" s="26"/>
      <c r="D26" s="26"/>
      <c r="E26" s="26"/>
      <c r="F26" s="26"/>
      <c r="G26" s="26"/>
    </row>
    <row r="27" spans="1:6" ht="12.75">
      <c r="A27" s="9"/>
      <c r="B27" s="9"/>
      <c r="C27" s="9"/>
      <c r="D27" s="9"/>
      <c r="E27" s="9"/>
      <c r="F27" s="9"/>
    </row>
    <row r="28" spans="1:6" ht="16.5">
      <c r="A28" s="48" t="s">
        <v>72</v>
      </c>
      <c r="B28" s="48"/>
      <c r="C28" s="48"/>
      <c r="D28" s="48"/>
      <c r="E28" s="48"/>
      <c r="F28" s="48"/>
    </row>
    <row r="29" spans="1:6" ht="24.75" customHeight="1">
      <c r="A29" s="57" t="s">
        <v>34</v>
      </c>
      <c r="B29" s="58" t="s">
        <v>35</v>
      </c>
      <c r="C29" s="59"/>
      <c r="D29" s="59"/>
      <c r="E29" s="55" t="s">
        <v>36</v>
      </c>
      <c r="F29" s="101"/>
    </row>
    <row r="30" spans="1:6" ht="25.5" customHeight="1">
      <c r="A30" s="45" t="s">
        <v>90</v>
      </c>
      <c r="B30" s="53" t="s">
        <v>96</v>
      </c>
      <c r="C30" s="54"/>
      <c r="D30" s="54"/>
      <c r="E30" s="39">
        <v>0.15</v>
      </c>
      <c r="F30" s="102"/>
    </row>
    <row r="31" spans="1:6" ht="19.5" customHeight="1">
      <c r="A31" s="45" t="s">
        <v>90</v>
      </c>
      <c r="B31" s="53" t="s">
        <v>98</v>
      </c>
      <c r="C31" s="54"/>
      <c r="D31" s="54"/>
      <c r="E31" s="39">
        <v>0.78363</v>
      </c>
      <c r="F31" s="102"/>
    </row>
    <row r="32" spans="1:6" ht="19.5" customHeight="1">
      <c r="A32" s="45"/>
      <c r="B32" s="53"/>
      <c r="C32" s="54"/>
      <c r="D32" s="54"/>
      <c r="E32" s="39"/>
      <c r="F32" s="102"/>
    </row>
    <row r="33" spans="1:6" ht="18.75" customHeight="1">
      <c r="A33" s="45"/>
      <c r="B33" s="53"/>
      <c r="C33" s="54"/>
      <c r="D33" s="54"/>
      <c r="E33" s="39"/>
      <c r="F33" s="102"/>
    </row>
    <row r="34" spans="1:6" ht="15.75" customHeight="1">
      <c r="A34" s="45"/>
      <c r="B34" s="53"/>
      <c r="C34" s="54"/>
      <c r="D34" s="54"/>
      <c r="E34" s="39"/>
      <c r="F34" s="102"/>
    </row>
    <row r="35" spans="1:7" s="2" customFormat="1" ht="12.75">
      <c r="A35" s="46"/>
      <c r="B35" s="53" t="s">
        <v>33</v>
      </c>
      <c r="C35" s="54"/>
      <c r="D35" s="54"/>
      <c r="E35" s="47">
        <f>SUM(E30:E34)</f>
        <v>0.9336300000000001</v>
      </c>
      <c r="F35" s="102"/>
      <c r="G35"/>
    </row>
    <row r="36" spans="1:6" ht="12.75">
      <c r="A36" s="9"/>
      <c r="B36" s="9"/>
      <c r="C36" s="9"/>
      <c r="D36" s="9"/>
      <c r="E36" s="93"/>
      <c r="F36" s="93"/>
    </row>
    <row r="37" spans="1:6" ht="68.25" customHeight="1">
      <c r="A37" s="179" t="s">
        <v>17</v>
      </c>
      <c r="B37" s="179"/>
      <c r="C37" s="30"/>
      <c r="F37" s="14" t="s">
        <v>57</v>
      </c>
    </row>
    <row r="38" spans="1:9" ht="48" customHeight="1">
      <c r="A38" s="180" t="s">
        <v>79</v>
      </c>
      <c r="B38" s="180"/>
      <c r="C38" s="14"/>
      <c r="F38" s="14" t="s">
        <v>68</v>
      </c>
      <c r="I38" s="1"/>
    </row>
    <row r="39" s="9" customFormat="1" ht="12.75">
      <c r="G39"/>
    </row>
    <row r="40" s="9" customFormat="1" ht="12.75">
      <c r="G40" s="1"/>
    </row>
    <row r="41" spans="1:7" s="9" customFormat="1" ht="12.75">
      <c r="A41" s="11" t="s">
        <v>8</v>
      </c>
      <c r="G41" s="1"/>
    </row>
    <row r="42" spans="1:7" s="9" customFormat="1" ht="12.75">
      <c r="A42" s="9" t="s">
        <v>16</v>
      </c>
      <c r="G42" s="8"/>
    </row>
    <row r="43" spans="1:7" s="9" customFormat="1" ht="12.75">
      <c r="A43" s="9" t="s">
        <v>40</v>
      </c>
      <c r="G43" s="8"/>
    </row>
    <row r="44" s="9" customFormat="1" ht="12.75">
      <c r="G44"/>
    </row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</sheetData>
  <sheetProtection/>
  <mergeCells count="5">
    <mergeCell ref="A5:D5"/>
    <mergeCell ref="B7:D7"/>
    <mergeCell ref="A8:D8"/>
    <mergeCell ref="A37:B37"/>
    <mergeCell ref="A38:B38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0"/>
  <sheetViews>
    <sheetView view="pageBreakPreview" zoomScaleSheetLayoutView="100" zoomScalePageLayoutView="0" workbookViewId="0" topLeftCell="A4">
      <selection activeCell="C44" sqref="C44"/>
    </sheetView>
  </sheetViews>
  <sheetFormatPr defaultColWidth="9.00390625" defaultRowHeight="12.75"/>
  <cols>
    <col min="1" max="1" width="4.375" style="0" customWidth="1"/>
    <col min="2" max="2" width="34.875" style="0" customWidth="1"/>
    <col min="3" max="3" width="11.375" style="0" customWidth="1"/>
    <col min="4" max="4" width="9.625" style="0" customWidth="1"/>
    <col min="5" max="7" width="11.125" style="0" customWidth="1"/>
  </cols>
  <sheetData>
    <row r="2" spans="1:5" ht="26.25">
      <c r="A2" s="166" t="s">
        <v>3</v>
      </c>
      <c r="B2" s="166"/>
      <c r="C2" s="166"/>
      <c r="D2" s="166"/>
      <c r="E2" s="166"/>
    </row>
    <row r="4" spans="1:7" s="2" customFormat="1" ht="15.75">
      <c r="A4" s="31"/>
      <c r="B4" s="167" t="s">
        <v>18</v>
      </c>
      <c r="C4" s="167"/>
      <c r="D4" s="167"/>
      <c r="E4" s="167"/>
      <c r="F4" s="20"/>
      <c r="G4" s="20"/>
    </row>
    <row r="5" spans="1:7" s="2" customFormat="1" ht="15.75">
      <c r="A5" s="167" t="s">
        <v>127</v>
      </c>
      <c r="B5" s="167"/>
      <c r="C5" s="167"/>
      <c r="D5" s="167"/>
      <c r="E5" s="167"/>
      <c r="F5" s="20"/>
      <c r="G5" s="20"/>
    </row>
    <row r="6" s="2" customFormat="1" ht="12.75">
      <c r="B6" s="21"/>
    </row>
    <row r="7" spans="2:7" s="2" customFormat="1" ht="12.75">
      <c r="B7" s="20"/>
      <c r="C7" s="20"/>
      <c r="D7" s="20"/>
      <c r="E7" s="20"/>
      <c r="F7" s="20"/>
      <c r="G7" s="20"/>
    </row>
    <row r="8" s="2" customFormat="1" ht="12.75">
      <c r="B8" s="1"/>
    </row>
    <row r="9" ht="13.5" thickBot="1"/>
    <row r="10" spans="1:8" s="4" customFormat="1" ht="48.75" customHeight="1">
      <c r="A10" s="3" t="s">
        <v>0</v>
      </c>
      <c r="B10" s="16" t="s">
        <v>1</v>
      </c>
      <c r="C10" s="17" t="s">
        <v>23</v>
      </c>
      <c r="D10" s="17" t="s">
        <v>21</v>
      </c>
      <c r="E10" s="17" t="s">
        <v>26</v>
      </c>
      <c r="F10" s="17" t="s">
        <v>30</v>
      </c>
      <c r="G10" s="17" t="s">
        <v>71</v>
      </c>
      <c r="H10" s="17" t="s">
        <v>39</v>
      </c>
    </row>
    <row r="11" spans="1:8" ht="25.5">
      <c r="A11" s="6">
        <v>1</v>
      </c>
      <c r="B11" s="19" t="s">
        <v>116</v>
      </c>
      <c r="C11" s="35">
        <f>283.6405/1.18</f>
        <v>240.37330508474577</v>
      </c>
      <c r="D11" s="35">
        <f>436.21797/1.18</f>
        <v>369.67624576271186</v>
      </c>
      <c r="E11" s="33">
        <f>437.21727/1.18</f>
        <v>370.52311016949153</v>
      </c>
      <c r="F11" s="33">
        <f>'[2]07.12'!$Z$15/1000</f>
        <v>450.9000000000001</v>
      </c>
      <c r="G11" s="33">
        <f>'[12]01.13'!$W$15/1.18/1000</f>
        <v>309.4161440677966</v>
      </c>
      <c r="H11" s="33">
        <f>E11+F11+D11+C11</f>
        <v>1431.4726610169491</v>
      </c>
    </row>
    <row r="12" spans="1:8" ht="25.5">
      <c r="A12" s="6">
        <v>2</v>
      </c>
      <c r="B12" s="19" t="s">
        <v>123</v>
      </c>
      <c r="C12" s="38">
        <f>240.76748/1.18</f>
        <v>204.04023728813561</v>
      </c>
      <c r="D12" s="38">
        <f>420.11068/1.18</f>
        <v>356.026</v>
      </c>
      <c r="E12" s="29">
        <f>435.44839/1.18</f>
        <v>369.0240593220339</v>
      </c>
      <c r="F12" s="29">
        <f>'[2]07.12'!$AA$15/1000</f>
        <v>440.56207627118647</v>
      </c>
      <c r="G12" s="29">
        <f>'[12]01.13'!$X$15/1.18/1000</f>
        <v>374.3524237288135</v>
      </c>
      <c r="H12" s="33">
        <f>E12+F12+D12+C12</f>
        <v>1369.652372881356</v>
      </c>
    </row>
    <row r="13" spans="1:8" ht="25.5">
      <c r="A13" s="6">
        <v>3</v>
      </c>
      <c r="B13" s="19" t="s">
        <v>124</v>
      </c>
      <c r="C13" s="29">
        <f>(C11-C12)*1.18</f>
        <v>42.873019999999975</v>
      </c>
      <c r="D13" s="32">
        <f>(D11-D12)*1.18+C13</f>
        <v>58.98030999999995</v>
      </c>
      <c r="E13" s="29">
        <f>(E11-E12)*1.18+D13</f>
        <v>60.74918999999995</v>
      </c>
      <c r="F13" s="29">
        <f>(F11-F12)*1.18+E13+F14</f>
        <v>72.94794000000002</v>
      </c>
      <c r="G13" s="29">
        <f>(G11-G12)*1.18+F13+G14</f>
        <v>-3.676869999999923</v>
      </c>
      <c r="H13" s="29">
        <f>G13</f>
        <v>-3.676869999999923</v>
      </c>
    </row>
    <row r="14" spans="1:8" ht="12.75">
      <c r="A14" s="6"/>
      <c r="B14" s="12"/>
      <c r="C14" s="18"/>
      <c r="D14" s="18"/>
      <c r="E14" s="22"/>
      <c r="F14" s="40"/>
      <c r="G14" s="97"/>
      <c r="H14" s="46"/>
    </row>
    <row r="15" spans="1:16" ht="31.5" customHeight="1">
      <c r="A15" s="6">
        <v>4</v>
      </c>
      <c r="B15" s="19" t="s">
        <v>2</v>
      </c>
      <c r="C15" s="29">
        <f>SUM(C16:C22)</f>
        <v>200.80930874111183</v>
      </c>
      <c r="D15" s="29">
        <f>SUM(D16:D22)</f>
        <v>424.0172049326303</v>
      </c>
      <c r="E15" s="29">
        <f>SUM(E16:E22)</f>
        <v>439.16917408847115</v>
      </c>
      <c r="F15" s="29">
        <f>SUM(F16:F22)</f>
        <v>560.3361615569223</v>
      </c>
      <c r="G15" s="29">
        <f>SUM(G16:G22)</f>
        <v>341.3445009336719</v>
      </c>
      <c r="H15" s="33">
        <f>E15+F15+D15+C15</f>
        <v>1624.3318493191357</v>
      </c>
      <c r="I15" s="60"/>
      <c r="J15" s="60"/>
      <c r="K15" s="60"/>
      <c r="L15" s="60"/>
      <c r="M15" s="60"/>
      <c r="N15" s="60"/>
      <c r="O15" s="60"/>
      <c r="P15" s="60"/>
    </row>
    <row r="16" spans="1:8" ht="12.75">
      <c r="A16" s="28" t="s">
        <v>9</v>
      </c>
      <c r="B16" s="12" t="s">
        <v>4</v>
      </c>
      <c r="C16" s="29">
        <f>'[7]кв4.д9'!$AT$44</f>
        <v>38.71094</v>
      </c>
      <c r="D16" s="29">
        <f>'[1]кв4.д9'!$AT$45</f>
        <v>88.8554071222</v>
      </c>
      <c r="E16" s="39">
        <f>'[6]кв4.д9'!$AT$45</f>
        <v>55.098116999999995</v>
      </c>
      <c r="F16" s="39">
        <f>'[4]кв4.д9'!$AT$45</f>
        <v>14.637679999999998</v>
      </c>
      <c r="G16" s="39">
        <f>'[9]кв4.д9'!$AT$45</f>
        <v>12.94153</v>
      </c>
      <c r="H16" s="33">
        <f aca="true" t="shared" si="0" ref="H16:H21">E16+F16+D16+C16</f>
        <v>197.3021441222</v>
      </c>
    </row>
    <row r="17" spans="1:8" ht="12.75">
      <c r="A17" s="28" t="s">
        <v>10</v>
      </c>
      <c r="B17" s="12" t="s">
        <v>14</v>
      </c>
      <c r="C17" s="29">
        <f>'[7]кв4.д9'!$AT$51+'[7]кв4.д9'!$AT$55</f>
        <v>77.1075882644</v>
      </c>
      <c r="D17" s="27">
        <f>'[1]кв4.д9'!$AT$54+'[1]кв4.д9'!$AT$58</f>
        <v>188.43749562069343</v>
      </c>
      <c r="E17" s="29">
        <f>'[6]кв4.д9'!$AT$54+'[6]кв4.д9'!$AT$58</f>
        <v>227.12334121891624</v>
      </c>
      <c r="F17" s="29">
        <f>'[4]кв4.д9'!$AT$54+'[4]кв4.д9'!$AT$58</f>
        <v>354.8904649792795</v>
      </c>
      <c r="G17" s="29">
        <f>'[9]кв4.д9'!$AT$54+'[9]кв4.д9'!$AT$58</f>
        <v>205.6671393001915</v>
      </c>
      <c r="H17" s="33">
        <f t="shared" si="0"/>
        <v>847.5588900832892</v>
      </c>
    </row>
    <row r="18" spans="1:8" ht="12.75">
      <c r="A18" s="28" t="s">
        <v>11</v>
      </c>
      <c r="B18" s="12" t="s">
        <v>5</v>
      </c>
      <c r="C18" s="29">
        <f>'[7]кв4.д9'!$AT$83</f>
        <v>33.50255</v>
      </c>
      <c r="D18" s="29">
        <f>'[1]кв4.д9'!$AT$81</f>
        <v>58.168937176961684</v>
      </c>
      <c r="E18" s="29">
        <f>'[6]кв4.д9'!$AT$81</f>
        <v>65.03837430000002</v>
      </c>
      <c r="F18" s="29">
        <f>'[4]кв4.д9'!$AT$81</f>
        <v>68.025065</v>
      </c>
      <c r="G18" s="29">
        <f>'[9]кв4.д9'!$AT$81</f>
        <v>43.54882</v>
      </c>
      <c r="H18" s="33">
        <f t="shared" si="0"/>
        <v>224.73492647696173</v>
      </c>
    </row>
    <row r="19" spans="1:8" ht="12.75">
      <c r="A19" s="28" t="s">
        <v>12</v>
      </c>
      <c r="B19" s="12" t="s">
        <v>6</v>
      </c>
      <c r="C19" s="29">
        <f>'[7]кв4.д9'!$AT$84</f>
        <v>2.3042018399999997</v>
      </c>
      <c r="D19" s="29">
        <f>'[1]кв4.д9'!$AT$83</f>
        <v>5.394599999999998</v>
      </c>
      <c r="E19" s="29">
        <f>'[6]кв4.д9'!$AT$83</f>
        <v>6.689612294358996</v>
      </c>
      <c r="F19" s="29">
        <f>'[4]кв4.д9'!$AT$83</f>
        <v>17.277584558147947</v>
      </c>
      <c r="G19" s="29">
        <f>'[9]кв4.д9'!$AT$83</f>
        <v>32.15514419666031</v>
      </c>
      <c r="H19" s="33">
        <f t="shared" si="0"/>
        <v>31.665998692506943</v>
      </c>
    </row>
    <row r="20" spans="1:8" ht="12.75">
      <c r="A20" s="28" t="s">
        <v>13</v>
      </c>
      <c r="B20" s="12" t="s">
        <v>7</v>
      </c>
      <c r="C20" s="29">
        <f>'[7]кв4.д9'!$AT$124</f>
        <v>12.148732874</v>
      </c>
      <c r="D20" s="29">
        <f>'[1]кв4.д9'!$AT$123</f>
        <v>25.229682070590638</v>
      </c>
      <c r="E20" s="29">
        <f>'[6]кв4.д9'!$AT$123</f>
        <v>29.430471749772224</v>
      </c>
      <c r="F20" s="29">
        <f>'[4]кв4.д9'!$AT$123</f>
        <v>37.3796665707769</v>
      </c>
      <c r="G20" s="29">
        <f>'[9]кв4.д9'!$AT$123</f>
        <v>0</v>
      </c>
      <c r="H20" s="33">
        <f t="shared" si="0"/>
        <v>104.18855326513977</v>
      </c>
    </row>
    <row r="21" spans="1:8" ht="12.75">
      <c r="A21" s="28" t="s">
        <v>15</v>
      </c>
      <c r="B21" s="44" t="s">
        <v>19</v>
      </c>
      <c r="C21" s="29">
        <f>'[7]кв4.д9'!$AT$82</f>
        <v>0.9793000000000001</v>
      </c>
      <c r="D21" s="29">
        <f>'[1]кв4.д9'!$AT$78+'[1]кв4.д9'!$AT$75+'[1]кв4.д9'!$AT$68+'[1]кв4.д9'!$AT$63</f>
        <v>2.4796460777777773</v>
      </c>
      <c r="E21" s="29">
        <f>'[6]кв4.д9'!$AT$79+'[6]кв4.д9'!$AT$78+'[6]кв4.д9'!$AT$68</f>
        <v>0.210791</v>
      </c>
      <c r="F21" s="29">
        <f>'[4]кв4.д9'!$AT$66-'[4]кв4.д9'!$AT$81</f>
        <v>0.49070044871794494</v>
      </c>
      <c r="G21" s="29">
        <f>'[9]кв4.д9'!$AT$66-'[9]кв4.д9'!$AT$81</f>
        <v>0.6194458266505904</v>
      </c>
      <c r="H21" s="33">
        <f t="shared" si="0"/>
        <v>4.1604375264957225</v>
      </c>
    </row>
    <row r="22" spans="1:8" ht="13.5" thickBot="1">
      <c r="A22" s="28" t="s">
        <v>37</v>
      </c>
      <c r="B22" s="23" t="s">
        <v>38</v>
      </c>
      <c r="C22" s="29">
        <f aca="true" t="shared" si="1" ref="C22:H22">C11*15%</f>
        <v>36.055995762711866</v>
      </c>
      <c r="D22" s="29">
        <f t="shared" si="1"/>
        <v>55.45143686440678</v>
      </c>
      <c r="E22" s="29">
        <f t="shared" si="1"/>
        <v>55.57846652542373</v>
      </c>
      <c r="F22" s="29">
        <f t="shared" si="1"/>
        <v>67.635</v>
      </c>
      <c r="G22" s="29">
        <f t="shared" si="1"/>
        <v>46.41242161016949</v>
      </c>
      <c r="H22" s="29">
        <f t="shared" si="1"/>
        <v>214.72089915254236</v>
      </c>
    </row>
    <row r="23" spans="1:8" ht="13.5" thickBot="1">
      <c r="A23" s="24"/>
      <c r="B23" s="25"/>
      <c r="C23" s="26"/>
      <c r="D23" s="26"/>
      <c r="E23" s="26"/>
      <c r="F23" s="26"/>
      <c r="G23" s="26"/>
      <c r="H23" s="26"/>
    </row>
    <row r="24" spans="1:7" ht="12.75">
      <c r="A24" s="9"/>
      <c r="B24" s="9"/>
      <c r="C24" s="9"/>
      <c r="D24" s="9"/>
      <c r="E24" s="9"/>
      <c r="F24" s="9"/>
      <c r="G24" s="9"/>
    </row>
    <row r="25" spans="1:8" ht="16.5">
      <c r="A25" s="48" t="s">
        <v>72</v>
      </c>
      <c r="B25" s="65"/>
      <c r="C25" s="48"/>
      <c r="D25" s="48"/>
      <c r="E25" s="48"/>
      <c r="H25" s="90"/>
    </row>
    <row r="26" spans="2:8" ht="30.75" customHeight="1">
      <c r="B26" s="57" t="s">
        <v>34</v>
      </c>
      <c r="C26" s="191" t="s">
        <v>35</v>
      </c>
      <c r="D26" s="192"/>
      <c r="E26" s="192"/>
      <c r="F26" s="192"/>
      <c r="G26" s="195"/>
      <c r="H26" s="66" t="s">
        <v>36</v>
      </c>
    </row>
    <row r="27" spans="1:8" ht="21.75" customHeight="1">
      <c r="A27" s="45"/>
      <c r="B27" s="67" t="s">
        <v>90</v>
      </c>
      <c r="C27" s="181" t="s">
        <v>99</v>
      </c>
      <c r="D27" s="182"/>
      <c r="E27" s="182"/>
      <c r="F27" s="182"/>
      <c r="G27" s="50"/>
      <c r="H27" s="47">
        <v>3.93041</v>
      </c>
    </row>
    <row r="28" spans="1:8" ht="18.75" customHeight="1">
      <c r="A28" s="45"/>
      <c r="B28" s="67" t="s">
        <v>90</v>
      </c>
      <c r="C28" s="181" t="s">
        <v>100</v>
      </c>
      <c r="D28" s="182"/>
      <c r="E28" s="182"/>
      <c r="F28" s="182"/>
      <c r="G28" s="50"/>
      <c r="H28" s="47">
        <v>1.47</v>
      </c>
    </row>
    <row r="29" spans="1:8" ht="18.75" customHeight="1">
      <c r="A29" s="45"/>
      <c r="B29" s="67"/>
      <c r="C29" s="181"/>
      <c r="D29" s="182"/>
      <c r="E29" s="182"/>
      <c r="F29" s="182"/>
      <c r="G29" s="50"/>
      <c r="H29" s="47"/>
    </row>
    <row r="30" spans="1:8" ht="18.75" customHeight="1">
      <c r="A30" s="45"/>
      <c r="B30" s="67"/>
      <c r="C30" s="181"/>
      <c r="D30" s="182"/>
      <c r="E30" s="182"/>
      <c r="F30" s="182"/>
      <c r="G30" s="50"/>
      <c r="H30" s="47"/>
    </row>
    <row r="31" spans="1:8" ht="18.75" customHeight="1">
      <c r="A31" s="45"/>
      <c r="B31" s="67"/>
      <c r="C31" s="181"/>
      <c r="D31" s="182"/>
      <c r="E31" s="182"/>
      <c r="F31" s="182"/>
      <c r="G31" s="50"/>
      <c r="H31" s="47"/>
    </row>
    <row r="32" spans="1:8" ht="18.75" customHeight="1">
      <c r="A32" s="45"/>
      <c r="B32" s="67"/>
      <c r="C32" s="49"/>
      <c r="D32" s="50"/>
      <c r="E32" s="50"/>
      <c r="F32" s="50"/>
      <c r="G32" s="50"/>
      <c r="H32" s="47"/>
    </row>
    <row r="33" spans="1:8" ht="18.75" customHeight="1">
      <c r="A33" s="45"/>
      <c r="B33" s="67"/>
      <c r="C33" s="49"/>
      <c r="D33" s="50"/>
      <c r="E33" s="50"/>
      <c r="F33" s="50"/>
      <c r="G33" s="50"/>
      <c r="H33" s="47"/>
    </row>
    <row r="34" spans="1:8" ht="18.75" customHeight="1">
      <c r="A34" s="45"/>
      <c r="B34" s="67"/>
      <c r="C34" s="49"/>
      <c r="D34" s="50"/>
      <c r="E34" s="50"/>
      <c r="F34" s="50"/>
      <c r="G34" s="50"/>
      <c r="H34" s="47"/>
    </row>
    <row r="35" spans="1:8" ht="18.75" customHeight="1">
      <c r="A35" s="45"/>
      <c r="B35" s="67"/>
      <c r="C35" s="49"/>
      <c r="D35" s="50"/>
      <c r="E35" s="50"/>
      <c r="F35" s="50"/>
      <c r="G35" s="50"/>
      <c r="H35" s="47"/>
    </row>
    <row r="36" spans="1:8" ht="18.75" customHeight="1">
      <c r="A36" s="45"/>
      <c r="B36" s="67"/>
      <c r="C36" s="49"/>
      <c r="D36" s="50"/>
      <c r="E36" s="50"/>
      <c r="F36" s="50"/>
      <c r="G36" s="50"/>
      <c r="H36" s="47"/>
    </row>
    <row r="37" spans="1:8" ht="18.75" customHeight="1">
      <c r="A37" s="45"/>
      <c r="B37" s="67"/>
      <c r="C37" s="49"/>
      <c r="D37" s="50"/>
      <c r="E37" s="50"/>
      <c r="F37" s="50"/>
      <c r="G37" s="50"/>
      <c r="H37" s="47"/>
    </row>
    <row r="38" spans="1:8" ht="18.75" customHeight="1">
      <c r="A38" s="45"/>
      <c r="B38" s="67"/>
      <c r="C38" s="49"/>
      <c r="D38" s="50"/>
      <c r="E38" s="50"/>
      <c r="F38" s="50"/>
      <c r="G38" s="50"/>
      <c r="H38" s="47"/>
    </row>
    <row r="39" spans="1:8" ht="18.75" customHeight="1">
      <c r="A39" s="45"/>
      <c r="B39" s="91" t="s">
        <v>64</v>
      </c>
      <c r="C39" s="181"/>
      <c r="D39" s="182"/>
      <c r="E39" s="182"/>
      <c r="F39" s="182"/>
      <c r="G39" s="50"/>
      <c r="H39" s="47">
        <f>SUM(H27:H38)</f>
        <v>5.40041</v>
      </c>
    </row>
    <row r="40" spans="1:8" ht="16.5">
      <c r="A40" s="9"/>
      <c r="B40" s="9"/>
      <c r="C40" s="9"/>
      <c r="D40" s="9"/>
      <c r="E40" s="9"/>
      <c r="F40" s="9"/>
      <c r="G40" s="9"/>
      <c r="H40" s="90"/>
    </row>
    <row r="41" spans="1:8" ht="16.5">
      <c r="A41" s="9"/>
      <c r="B41" s="9"/>
      <c r="C41" s="9"/>
      <c r="D41" s="9"/>
      <c r="E41" s="9"/>
      <c r="F41" s="9"/>
      <c r="G41" s="9"/>
      <c r="H41" s="48"/>
    </row>
    <row r="42" spans="1:8" ht="16.5">
      <c r="A42" s="9"/>
      <c r="B42" s="9"/>
      <c r="C42" s="9"/>
      <c r="D42" s="9"/>
      <c r="E42" s="9"/>
      <c r="F42" s="9"/>
      <c r="G42" s="9"/>
      <c r="H42" s="48"/>
    </row>
    <row r="43" spans="1:8" s="2" customFormat="1" ht="12.75">
      <c r="A43" s="194" t="s">
        <v>17</v>
      </c>
      <c r="B43" s="194"/>
      <c r="C43" s="30"/>
      <c r="D43"/>
      <c r="E43" s="9"/>
      <c r="G43" s="14" t="s">
        <v>57</v>
      </c>
      <c r="H43"/>
    </row>
    <row r="44" spans="1:8" s="2" customFormat="1" ht="12.75">
      <c r="A44" s="43"/>
      <c r="B44" s="43"/>
      <c r="C44" s="30"/>
      <c r="D44"/>
      <c r="E44" s="9"/>
      <c r="G44" s="14"/>
      <c r="H44"/>
    </row>
    <row r="45" spans="1:8" s="2" customFormat="1" ht="12.75">
      <c r="A45" s="43"/>
      <c r="B45" s="43"/>
      <c r="C45" s="30"/>
      <c r="D45"/>
      <c r="E45" s="9"/>
      <c r="G45" s="14"/>
      <c r="H45"/>
    </row>
    <row r="46" spans="2:8" s="9" customFormat="1" ht="12.75">
      <c r="B46" s="14" t="s">
        <v>79</v>
      </c>
      <c r="C46" s="14"/>
      <c r="D46"/>
      <c r="G46" s="14" t="s">
        <v>68</v>
      </c>
      <c r="H46"/>
    </row>
    <row r="47" spans="1:8" s="2" customFormat="1" ht="12.75">
      <c r="A47" s="43"/>
      <c r="B47" s="43"/>
      <c r="C47" s="30"/>
      <c r="D47"/>
      <c r="E47" s="9"/>
      <c r="F47" s="14"/>
      <c r="G47" s="14"/>
      <c r="H47"/>
    </row>
    <row r="48" spans="1:8" s="2" customFormat="1" ht="12.75">
      <c r="A48" s="11" t="s">
        <v>8</v>
      </c>
      <c r="B48" s="43"/>
      <c r="C48" s="30"/>
      <c r="D48"/>
      <c r="E48" s="9"/>
      <c r="F48" s="14"/>
      <c r="G48" s="14"/>
      <c r="H48"/>
    </row>
    <row r="49" spans="1:8" s="2" customFormat="1" ht="12.75">
      <c r="A49" s="9" t="s">
        <v>16</v>
      </c>
      <c r="B49" s="43"/>
      <c r="C49" s="30"/>
      <c r="D49"/>
      <c r="E49" s="9"/>
      <c r="F49" s="14"/>
      <c r="G49" s="14"/>
      <c r="H49"/>
    </row>
    <row r="50" ht="12.75">
      <c r="A50" s="9" t="s">
        <v>40</v>
      </c>
    </row>
    <row r="51" spans="2:8" s="9" customFormat="1" ht="12.75">
      <c r="B51" s="14"/>
      <c r="C51" s="14"/>
      <c r="D51" s="14"/>
      <c r="H51"/>
    </row>
    <row r="52" spans="1:7" ht="12.75">
      <c r="A52" s="9"/>
      <c r="B52" s="9"/>
      <c r="C52" s="9"/>
      <c r="D52" s="9"/>
      <c r="E52" s="9"/>
      <c r="F52" s="9"/>
      <c r="G52" s="9"/>
    </row>
    <row r="53" s="9" customFormat="1" ht="12.75">
      <c r="H53" s="1"/>
    </row>
    <row r="54" spans="3:8" s="9" customFormat="1" ht="12.75">
      <c r="C54" s="11"/>
      <c r="H54" s="1"/>
    </row>
    <row r="55" s="9" customFormat="1" ht="12.75">
      <c r="H55" s="8"/>
    </row>
    <row r="56" s="9" customFormat="1" ht="12.75">
      <c r="H56" s="8"/>
    </row>
    <row r="57" s="9" customFormat="1" ht="12.75">
      <c r="H57"/>
    </row>
    <row r="58" s="9" customFormat="1" ht="12.75"/>
    <row r="59" s="9" customFormat="1" ht="12.75"/>
    <row r="60" s="9" customFormat="1" ht="12.75"/>
    <row r="61" spans="1:8" ht="12.75">
      <c r="A61" s="9"/>
      <c r="B61" s="9"/>
      <c r="C61" s="9"/>
      <c r="D61" s="9"/>
      <c r="E61" s="9"/>
      <c r="F61" s="9"/>
      <c r="G61" s="9"/>
      <c r="H61" s="9"/>
    </row>
    <row r="62" spans="1:8" ht="12.75">
      <c r="A62" s="9"/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ht="12.75">
      <c r="H65" s="9"/>
    </row>
    <row r="66" ht="12.75">
      <c r="H66" s="9"/>
    </row>
    <row r="67" ht="12.75">
      <c r="H67" s="9"/>
    </row>
    <row r="68" ht="12.75">
      <c r="H68" s="9"/>
    </row>
    <row r="69" ht="12.75">
      <c r="H69" s="9"/>
    </row>
    <row r="70" ht="12.75">
      <c r="H70" s="9"/>
    </row>
  </sheetData>
  <sheetProtection/>
  <mergeCells count="11">
    <mergeCell ref="C29:F29"/>
    <mergeCell ref="C39:F39"/>
    <mergeCell ref="A43:B43"/>
    <mergeCell ref="C26:G26"/>
    <mergeCell ref="C31:F31"/>
    <mergeCell ref="A2:E2"/>
    <mergeCell ref="B4:E4"/>
    <mergeCell ref="A5:E5"/>
    <mergeCell ref="C27:F27"/>
    <mergeCell ref="C28:F28"/>
    <mergeCell ref="C30:F30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1"/>
  <sheetViews>
    <sheetView zoomScale="90" zoomScaleNormal="90" zoomScalePageLayoutView="0" workbookViewId="0" topLeftCell="A151">
      <selection activeCell="B161" sqref="B161:B164"/>
    </sheetView>
  </sheetViews>
  <sheetFormatPr defaultColWidth="17.00390625" defaultRowHeight="12.75"/>
  <cols>
    <col min="1" max="1" width="36.625" style="0" customWidth="1"/>
  </cols>
  <sheetData>
    <row r="1" spans="1:3" ht="15.75" thickBot="1">
      <c r="A1" s="64"/>
      <c r="B1" s="196" t="s">
        <v>42</v>
      </c>
      <c r="C1" s="196"/>
    </row>
    <row r="2" spans="1:4" ht="15">
      <c r="A2" s="72" t="s">
        <v>41</v>
      </c>
      <c r="B2" s="79" t="s">
        <v>43</v>
      </c>
      <c r="C2" s="79" t="s">
        <v>44</v>
      </c>
      <c r="D2" s="80" t="s">
        <v>61</v>
      </c>
    </row>
    <row r="3" spans="1:4" ht="12.75">
      <c r="A3" s="81" t="s">
        <v>45</v>
      </c>
      <c r="B3" s="46">
        <v>7836.43</v>
      </c>
      <c r="C3" s="46">
        <v>7836.43</v>
      </c>
      <c r="D3" s="74">
        <f aca="true" t="shared" si="0" ref="D3:D14">B3-C3</f>
        <v>0</v>
      </c>
    </row>
    <row r="4" spans="1:4" ht="12.75">
      <c r="A4" s="81" t="s">
        <v>46</v>
      </c>
      <c r="B4" s="46"/>
      <c r="C4" s="46"/>
      <c r="D4" s="74">
        <f t="shared" si="0"/>
        <v>0</v>
      </c>
    </row>
    <row r="5" spans="1:4" ht="12.75">
      <c r="A5" s="81" t="s">
        <v>47</v>
      </c>
      <c r="B5" s="46">
        <v>15672.86</v>
      </c>
      <c r="C5" s="46"/>
      <c r="D5" s="74">
        <f t="shared" si="0"/>
        <v>15672.86</v>
      </c>
    </row>
    <row r="6" spans="1:4" ht="12.75">
      <c r="A6" s="81" t="s">
        <v>48</v>
      </c>
      <c r="B6" s="46">
        <v>7836.43</v>
      </c>
      <c r="C6" s="46">
        <v>7836.43</v>
      </c>
      <c r="D6" s="74">
        <f t="shared" si="0"/>
        <v>0</v>
      </c>
    </row>
    <row r="7" spans="1:4" ht="12.75">
      <c r="A7" s="81" t="s">
        <v>49</v>
      </c>
      <c r="B7" s="46">
        <v>7836.43</v>
      </c>
      <c r="C7" s="46">
        <v>15672.86</v>
      </c>
      <c r="D7" s="74">
        <f t="shared" si="0"/>
        <v>-7836.43</v>
      </c>
    </row>
    <row r="8" spans="1:4" ht="12.75">
      <c r="A8" s="81" t="s">
        <v>50</v>
      </c>
      <c r="B8" s="46">
        <v>9245.82</v>
      </c>
      <c r="C8" s="46">
        <v>7836.43</v>
      </c>
      <c r="D8" s="74">
        <f t="shared" si="0"/>
        <v>1409.3899999999994</v>
      </c>
    </row>
    <row r="9" spans="1:4" ht="12.75">
      <c r="A9" s="81" t="s">
        <v>51</v>
      </c>
      <c r="B9" s="46">
        <v>9245.82</v>
      </c>
      <c r="C9" s="46">
        <v>9245.82</v>
      </c>
      <c r="D9" s="74">
        <f t="shared" si="0"/>
        <v>0</v>
      </c>
    </row>
    <row r="10" spans="1:4" ht="12.75">
      <c r="A10" s="81" t="s">
        <v>52</v>
      </c>
      <c r="B10" s="46">
        <v>9245.82</v>
      </c>
      <c r="C10" s="46">
        <v>9245.82</v>
      </c>
      <c r="D10" s="74">
        <f t="shared" si="0"/>
        <v>0</v>
      </c>
    </row>
    <row r="11" spans="1:4" ht="12.75">
      <c r="A11" s="81" t="s">
        <v>56</v>
      </c>
      <c r="B11" s="46">
        <v>9245.82</v>
      </c>
      <c r="C11" s="46">
        <v>9245.82</v>
      </c>
      <c r="D11" s="74">
        <f t="shared" si="0"/>
        <v>0</v>
      </c>
    </row>
    <row r="12" spans="1:4" ht="12.75">
      <c r="A12" s="81" t="s">
        <v>65</v>
      </c>
      <c r="B12" s="46">
        <v>9245.82</v>
      </c>
      <c r="C12" s="46">
        <v>9245.82</v>
      </c>
      <c r="D12" s="74">
        <f t="shared" si="0"/>
        <v>0</v>
      </c>
    </row>
    <row r="13" spans="1:4" ht="12.75">
      <c r="A13" s="94" t="s">
        <v>69</v>
      </c>
      <c r="B13">
        <v>9245.82</v>
      </c>
      <c r="C13">
        <v>9245.82</v>
      </c>
      <c r="D13" s="74">
        <f t="shared" si="0"/>
        <v>0</v>
      </c>
    </row>
    <row r="14" spans="1:4" ht="15.75" thickBot="1">
      <c r="A14" s="76" t="s">
        <v>53</v>
      </c>
      <c r="B14" s="77">
        <f>SUM(B3:B13)</f>
        <v>94657.07</v>
      </c>
      <c r="C14" s="77">
        <f>SUM(C3:C13)</f>
        <v>85411.25</v>
      </c>
      <c r="D14" s="78">
        <f t="shared" si="0"/>
        <v>9245.820000000007</v>
      </c>
    </row>
    <row r="15" spans="1:4" ht="15.75" thickBot="1">
      <c r="A15" s="71"/>
      <c r="B15" s="71"/>
      <c r="C15" s="71"/>
      <c r="D15" s="71"/>
    </row>
    <row r="16" spans="1:4" ht="15">
      <c r="A16" s="72" t="s">
        <v>54</v>
      </c>
      <c r="B16" s="79" t="s">
        <v>43</v>
      </c>
      <c r="C16" s="79" t="s">
        <v>44</v>
      </c>
      <c r="D16" s="80" t="s">
        <v>61</v>
      </c>
    </row>
    <row r="17" spans="1:4" ht="15">
      <c r="A17" s="73" t="s">
        <v>52</v>
      </c>
      <c r="B17" s="46">
        <f>3737.51</f>
        <v>3737.51</v>
      </c>
      <c r="C17" s="46">
        <v>0</v>
      </c>
      <c r="D17" s="74">
        <f>C17-B17</f>
        <v>-3737.51</v>
      </c>
    </row>
    <row r="18" spans="1:4" ht="15">
      <c r="A18" s="73" t="s">
        <v>56</v>
      </c>
      <c r="B18" s="46">
        <f aca="true" t="shared" si="1" ref="B18:C20">3737.51</f>
        <v>3737.51</v>
      </c>
      <c r="C18" s="46">
        <f t="shared" si="1"/>
        <v>3737.51</v>
      </c>
      <c r="D18" s="74">
        <f>C18-B18</f>
        <v>0</v>
      </c>
    </row>
    <row r="19" spans="1:4" ht="12.75">
      <c r="A19" s="94" t="s">
        <v>65</v>
      </c>
      <c r="B19" s="46">
        <f t="shared" si="1"/>
        <v>3737.51</v>
      </c>
      <c r="C19" s="46">
        <f t="shared" si="1"/>
        <v>3737.51</v>
      </c>
      <c r="D19" s="74">
        <f>C19-B19</f>
        <v>0</v>
      </c>
    </row>
    <row r="20" spans="1:4" ht="12.75">
      <c r="A20" s="94" t="s">
        <v>69</v>
      </c>
      <c r="B20" s="46">
        <f t="shared" si="1"/>
        <v>3737.51</v>
      </c>
      <c r="C20" s="46">
        <f>3737.51+3737.51</f>
        <v>7475.02</v>
      </c>
      <c r="D20" s="74">
        <f>C20-B20</f>
        <v>3737.51</v>
      </c>
    </row>
    <row r="21" spans="1:4" ht="15">
      <c r="A21" s="75" t="s">
        <v>53</v>
      </c>
      <c r="B21" s="6">
        <f>SUM(B17:B20)</f>
        <v>14950.04</v>
      </c>
      <c r="C21" s="6">
        <f>SUM(C17:C20)</f>
        <v>14950.04</v>
      </c>
      <c r="D21" s="6">
        <f>C21-B21</f>
        <v>0</v>
      </c>
    </row>
    <row r="22" spans="1:4" ht="15.75" thickBot="1">
      <c r="A22" s="82"/>
      <c r="B22" s="83"/>
      <c r="C22" s="83"/>
      <c r="D22" s="84"/>
    </row>
    <row r="23" spans="1:4" ht="15">
      <c r="A23" s="72" t="s">
        <v>66</v>
      </c>
      <c r="B23" s="79" t="s">
        <v>43</v>
      </c>
      <c r="C23" s="79" t="s">
        <v>44</v>
      </c>
      <c r="D23" s="80" t="s">
        <v>61</v>
      </c>
    </row>
    <row r="24" spans="1:4" ht="12.75">
      <c r="A24" s="94" t="s">
        <v>67</v>
      </c>
      <c r="B24" s="83">
        <v>8686.12</v>
      </c>
      <c r="C24" s="83"/>
      <c r="D24" s="84">
        <f>B24-C24</f>
        <v>8686.12</v>
      </c>
    </row>
    <row r="25" spans="1:4" ht="12.75">
      <c r="A25" s="94" t="s">
        <v>69</v>
      </c>
      <c r="B25">
        <v>2171.53</v>
      </c>
      <c r="C25">
        <v>10857.65</v>
      </c>
      <c r="D25" s="84">
        <f>B25-C25</f>
        <v>-8686.119999999999</v>
      </c>
    </row>
    <row r="26" spans="1:4" ht="15">
      <c r="A26" s="75" t="s">
        <v>53</v>
      </c>
      <c r="B26" s="6">
        <f>SUM(B24:B25)</f>
        <v>10857.650000000001</v>
      </c>
      <c r="C26" s="6">
        <f>SUM(C24:C25)</f>
        <v>10857.65</v>
      </c>
      <c r="D26" s="84">
        <f>B26-C26</f>
        <v>0</v>
      </c>
    </row>
    <row r="27" spans="1:4" ht="15">
      <c r="A27" s="82"/>
      <c r="B27" s="83"/>
      <c r="C27" s="83"/>
      <c r="D27" s="84">
        <f>B27-C27</f>
        <v>0</v>
      </c>
    </row>
    <row r="28" spans="1:4" ht="15.75" thickBot="1">
      <c r="A28" s="82"/>
      <c r="B28" s="83"/>
      <c r="C28" s="83"/>
      <c r="D28" s="84"/>
    </row>
    <row r="29" spans="1:4" ht="15.75" thickBot="1">
      <c r="A29" s="85" t="s">
        <v>55</v>
      </c>
      <c r="B29" s="86">
        <f>B14+B21+B26</f>
        <v>120464.76000000001</v>
      </c>
      <c r="C29" s="86">
        <f>C14+C21+C26</f>
        <v>111218.94</v>
      </c>
      <c r="D29" s="87">
        <f>B29-C29</f>
        <v>9245.820000000007</v>
      </c>
    </row>
    <row r="31" ht="13.5" thickBot="1"/>
    <row r="32" spans="1:3" ht="15">
      <c r="A32" s="72" t="s">
        <v>41</v>
      </c>
      <c r="B32" s="197" t="s">
        <v>42</v>
      </c>
      <c r="C32" s="198"/>
    </row>
    <row r="33" spans="1:3" ht="15">
      <c r="A33" s="81"/>
      <c r="B33" s="112" t="s">
        <v>43</v>
      </c>
      <c r="C33" s="114" t="s">
        <v>44</v>
      </c>
    </row>
    <row r="34" spans="1:3" ht="12.75">
      <c r="A34" s="115" t="s">
        <v>91</v>
      </c>
      <c r="B34" s="46">
        <v>9245.82</v>
      </c>
      <c r="C34" s="74">
        <v>9245.82</v>
      </c>
    </row>
    <row r="35" spans="1:3" ht="12.75">
      <c r="A35" s="115" t="s">
        <v>92</v>
      </c>
      <c r="B35" s="46">
        <v>9245.82</v>
      </c>
      <c r="C35" s="74">
        <v>9245.82</v>
      </c>
    </row>
    <row r="36" spans="1:3" ht="12.75">
      <c r="A36" s="115" t="s">
        <v>93</v>
      </c>
      <c r="B36" s="46">
        <v>9245.82</v>
      </c>
      <c r="C36" s="74">
        <v>9245.82</v>
      </c>
    </row>
    <row r="37" spans="1:3" ht="12.75">
      <c r="A37" s="115" t="s">
        <v>94</v>
      </c>
      <c r="B37" s="46">
        <v>9245.82</v>
      </c>
      <c r="C37" s="74">
        <v>9245.82</v>
      </c>
    </row>
    <row r="38" spans="1:3" ht="12.75">
      <c r="A38" s="115" t="s">
        <v>113</v>
      </c>
      <c r="B38" s="46">
        <v>9245.82</v>
      </c>
      <c r="C38" s="74">
        <v>9245.82</v>
      </c>
    </row>
    <row r="39" spans="1:3" ht="12.75">
      <c r="A39" s="115" t="s">
        <v>114</v>
      </c>
      <c r="B39" s="46">
        <v>9245.82</v>
      </c>
      <c r="C39" s="74">
        <v>9245.82</v>
      </c>
    </row>
    <row r="40" spans="1:3" ht="12.75">
      <c r="A40" s="115" t="s">
        <v>128</v>
      </c>
      <c r="B40" s="46">
        <v>9245.82</v>
      </c>
      <c r="C40" s="74">
        <v>9245.82</v>
      </c>
    </row>
    <row r="41" spans="1:3" ht="12.75">
      <c r="A41" s="115" t="s">
        <v>129</v>
      </c>
      <c r="B41" s="46">
        <v>9245.82</v>
      </c>
      <c r="C41" s="74">
        <v>9245.82</v>
      </c>
    </row>
    <row r="42" spans="1:3" ht="12.75">
      <c r="A42" s="115" t="s">
        <v>141</v>
      </c>
      <c r="B42" s="46">
        <v>9245.82</v>
      </c>
      <c r="C42" s="74">
        <v>9245.82</v>
      </c>
    </row>
    <row r="43" spans="1:3" ht="12.75">
      <c r="A43" s="115" t="s">
        <v>142</v>
      </c>
      <c r="B43" s="46">
        <v>9245.82</v>
      </c>
      <c r="C43" s="74">
        <v>9245.82</v>
      </c>
    </row>
    <row r="44" spans="1:3" ht="12.75">
      <c r="A44" s="115" t="s">
        <v>143</v>
      </c>
      <c r="B44" s="46">
        <v>9245.82</v>
      </c>
      <c r="C44" s="74"/>
    </row>
    <row r="45" spans="1:3" ht="12.75">
      <c r="A45" s="115" t="s">
        <v>144</v>
      </c>
      <c r="B45" s="46">
        <v>10900.82</v>
      </c>
      <c r="C45" s="74">
        <v>18491.64</v>
      </c>
    </row>
    <row r="46" spans="1:4" ht="15">
      <c r="A46" s="75" t="s">
        <v>53</v>
      </c>
      <c r="B46" s="113">
        <f>SUM(B34:B45)</f>
        <v>112604.84000000003</v>
      </c>
      <c r="C46" s="113">
        <f>SUM(C34:C45)</f>
        <v>110949.84000000001</v>
      </c>
      <c r="D46">
        <f>B46-C46</f>
        <v>1655.0000000000146</v>
      </c>
    </row>
    <row r="47" spans="1:3" ht="15">
      <c r="A47" s="75"/>
      <c r="B47" s="113"/>
      <c r="C47" s="116"/>
    </row>
    <row r="48" spans="1:3" ht="15">
      <c r="A48" s="117" t="s">
        <v>54</v>
      </c>
      <c r="B48" s="46"/>
      <c r="C48" s="74"/>
    </row>
    <row r="49" spans="1:3" ht="12.75">
      <c r="A49" s="115" t="s">
        <v>91</v>
      </c>
      <c r="B49" s="46">
        <v>3737.51</v>
      </c>
      <c r="C49" s="46"/>
    </row>
    <row r="50" spans="1:3" ht="12.75">
      <c r="A50" s="115" t="s">
        <v>92</v>
      </c>
      <c r="B50" s="46">
        <v>3737.51</v>
      </c>
      <c r="C50" s="74">
        <v>3737.51</v>
      </c>
    </row>
    <row r="51" spans="1:3" ht="12.75">
      <c r="A51" s="115" t="s">
        <v>93</v>
      </c>
      <c r="B51" s="46">
        <v>3737.51</v>
      </c>
      <c r="C51" s="74">
        <v>3737.51</v>
      </c>
    </row>
    <row r="52" spans="1:3" ht="12.75">
      <c r="A52" s="136" t="s">
        <v>94</v>
      </c>
      <c r="B52" s="46">
        <v>3737.51</v>
      </c>
      <c r="C52" s="46">
        <v>3737.51</v>
      </c>
    </row>
    <row r="53" spans="1:3" ht="12.75">
      <c r="A53" s="136" t="s">
        <v>113</v>
      </c>
      <c r="B53" s="46">
        <v>3737.51</v>
      </c>
      <c r="C53" s="46">
        <v>3737.51</v>
      </c>
    </row>
    <row r="54" spans="1:3" ht="12.75">
      <c r="A54" s="115" t="s">
        <v>114</v>
      </c>
      <c r="B54" s="46">
        <v>3737.51</v>
      </c>
      <c r="C54" s="74">
        <v>3737.51</v>
      </c>
    </row>
    <row r="55" spans="1:3" ht="12.75">
      <c r="A55" s="115" t="s">
        <v>128</v>
      </c>
      <c r="B55" s="46">
        <v>3737.51</v>
      </c>
      <c r="C55" s="74">
        <v>3737.51</v>
      </c>
    </row>
    <row r="56" spans="1:3" ht="12.75">
      <c r="A56" s="115" t="s">
        <v>129</v>
      </c>
      <c r="B56" s="46">
        <v>3737.51</v>
      </c>
      <c r="C56" s="74">
        <v>3737.51</v>
      </c>
    </row>
    <row r="57" spans="1:3" ht="12.75">
      <c r="A57" s="115" t="s">
        <v>130</v>
      </c>
      <c r="B57" s="46"/>
      <c r="C57" s="74">
        <v>3737.51</v>
      </c>
    </row>
    <row r="58" spans="1:3" ht="12.75">
      <c r="A58" s="115" t="s">
        <v>141</v>
      </c>
      <c r="B58" s="46">
        <v>3737.51</v>
      </c>
      <c r="C58" s="74">
        <v>3737.51</v>
      </c>
    </row>
    <row r="59" spans="1:3" ht="12.75">
      <c r="A59" s="115" t="s">
        <v>142</v>
      </c>
      <c r="B59" s="46">
        <v>3737.51</v>
      </c>
      <c r="C59" s="74">
        <v>3737.51</v>
      </c>
    </row>
    <row r="60" spans="1:3" ht="12.75">
      <c r="A60" s="115" t="s">
        <v>143</v>
      </c>
      <c r="B60" s="46">
        <v>3737.51</v>
      </c>
      <c r="C60" s="74">
        <v>3737.51</v>
      </c>
    </row>
    <row r="61" spans="1:3" ht="12.75">
      <c r="A61" s="115" t="s">
        <v>144</v>
      </c>
      <c r="B61" s="46">
        <v>4406.52</v>
      </c>
      <c r="C61" s="74"/>
    </row>
    <row r="62" spans="1:3" ht="12.75">
      <c r="A62" s="115"/>
      <c r="B62" s="46"/>
      <c r="C62" s="74"/>
    </row>
    <row r="63" spans="1:3" ht="12.75">
      <c r="A63" s="94"/>
      <c r="B63" s="134"/>
      <c r="C63" s="135"/>
    </row>
    <row r="64" spans="1:4" ht="15">
      <c r="A64" s="75" t="s">
        <v>53</v>
      </c>
      <c r="B64" s="116">
        <f>SUM(B49:B63)</f>
        <v>45519.13000000002</v>
      </c>
      <c r="C64" s="116">
        <f>SUM(C49:C63)</f>
        <v>41112.610000000015</v>
      </c>
      <c r="D64">
        <f>B64-C64</f>
        <v>4406.520000000004</v>
      </c>
    </row>
    <row r="65" spans="1:3" ht="15">
      <c r="A65" s="75"/>
      <c r="B65" s="113"/>
      <c r="C65" s="116"/>
    </row>
    <row r="66" spans="1:3" ht="15">
      <c r="A66" s="117" t="s">
        <v>66</v>
      </c>
      <c r="B66" s="46"/>
      <c r="C66" s="74"/>
    </row>
    <row r="67" spans="1:3" ht="12.75">
      <c r="A67" s="115" t="s">
        <v>91</v>
      </c>
      <c r="B67" s="46">
        <v>2171.53</v>
      </c>
      <c r="C67" s="135">
        <v>2171.53</v>
      </c>
    </row>
    <row r="68" spans="1:3" ht="12.75">
      <c r="A68" s="115" t="s">
        <v>92</v>
      </c>
      <c r="B68" s="46">
        <v>2171.53</v>
      </c>
      <c r="C68" s="135">
        <v>2171.53</v>
      </c>
    </row>
    <row r="69" spans="1:3" ht="12.75">
      <c r="A69" s="115" t="s">
        <v>93</v>
      </c>
      <c r="B69" s="46">
        <v>2171.53</v>
      </c>
      <c r="C69" s="135">
        <v>2171.53</v>
      </c>
    </row>
    <row r="70" spans="1:3" ht="12.75">
      <c r="A70" s="115" t="s">
        <v>94</v>
      </c>
      <c r="B70" s="46">
        <v>2171.53</v>
      </c>
      <c r="C70" s="135">
        <v>2171.53</v>
      </c>
    </row>
    <row r="71" spans="1:3" ht="12.75">
      <c r="A71" s="115" t="s">
        <v>113</v>
      </c>
      <c r="B71" s="46">
        <v>2171.53</v>
      </c>
      <c r="C71" s="135">
        <v>2171.53</v>
      </c>
    </row>
    <row r="72" spans="1:3" ht="12.75">
      <c r="A72" s="115" t="s">
        <v>114</v>
      </c>
      <c r="B72" s="46">
        <v>2171.53</v>
      </c>
      <c r="C72" s="135">
        <v>2171.53</v>
      </c>
    </row>
    <row r="73" spans="1:3" ht="12.75">
      <c r="A73" s="115" t="s">
        <v>128</v>
      </c>
      <c r="B73" s="46">
        <v>2171.53</v>
      </c>
      <c r="C73" s="135">
        <v>2171.53</v>
      </c>
    </row>
    <row r="74" spans="1:6" ht="12.75">
      <c r="A74" s="115" t="s">
        <v>129</v>
      </c>
      <c r="B74" s="46">
        <v>2171.53</v>
      </c>
      <c r="C74" s="135">
        <v>2171.53</v>
      </c>
      <c r="F74" t="s">
        <v>134</v>
      </c>
    </row>
    <row r="75" spans="1:6" ht="12.75">
      <c r="A75" s="115" t="s">
        <v>141</v>
      </c>
      <c r="B75" s="46">
        <v>2171.53</v>
      </c>
      <c r="C75" s="135">
        <v>2171.53</v>
      </c>
      <c r="F75">
        <f>D14</f>
        <v>9245.820000000007</v>
      </c>
    </row>
    <row r="76" spans="1:3" ht="12.75">
      <c r="A76" s="115" t="s">
        <v>142</v>
      </c>
      <c r="B76" s="46">
        <v>2171.53</v>
      </c>
      <c r="C76" s="135">
        <v>2171.53</v>
      </c>
    </row>
    <row r="77" spans="1:3" ht="12.75">
      <c r="A77" s="115" t="s">
        <v>143</v>
      </c>
      <c r="B77" s="46">
        <v>2171.53</v>
      </c>
      <c r="C77" s="135">
        <v>2171.53</v>
      </c>
    </row>
    <row r="78" spans="1:3" ht="12.75">
      <c r="A78" s="115" t="s">
        <v>144</v>
      </c>
      <c r="B78" s="46">
        <v>2560.25</v>
      </c>
      <c r="C78" s="135">
        <v>2171.59</v>
      </c>
    </row>
    <row r="79" spans="1:4" ht="12.75">
      <c r="A79" s="137"/>
      <c r="B79" s="46"/>
      <c r="C79" s="135"/>
      <c r="D79">
        <f>B82-C82</f>
        <v>388.65999999999985</v>
      </c>
    </row>
    <row r="80" spans="1:3" ht="12.75">
      <c r="A80" s="115"/>
      <c r="B80" s="46"/>
      <c r="C80" s="74"/>
    </row>
    <row r="81" spans="1:6" ht="12.75">
      <c r="A81" s="115"/>
      <c r="B81" s="46"/>
      <c r="C81" s="74"/>
      <c r="D81" t="s">
        <v>132</v>
      </c>
      <c r="E81" t="s">
        <v>131</v>
      </c>
      <c r="F81" t="s">
        <v>133</v>
      </c>
    </row>
    <row r="82" spans="1:6" ht="12.75">
      <c r="A82" s="115" t="s">
        <v>53</v>
      </c>
      <c r="B82" s="46">
        <f>SUM(B67:B81)</f>
        <v>26447.079999999998</v>
      </c>
      <c r="C82" s="74">
        <f>SUM(C67:C81)</f>
        <v>26058.42</v>
      </c>
      <c r="D82" s="138">
        <f>(B46+B64+B82)/1.18</f>
        <v>156416.14406779665</v>
      </c>
      <c r="E82" s="138">
        <f>(C46+C64+C82)/1.18</f>
        <v>150949.88983050847</v>
      </c>
      <c r="F82" s="139">
        <f>(D82-E82)*1.18+F75</f>
        <v>15696.000000000051</v>
      </c>
    </row>
    <row r="83" spans="1:3" ht="13.5" thickBot="1">
      <c r="A83" s="140"/>
      <c r="B83" s="141"/>
      <c r="C83" s="142"/>
    </row>
    <row r="84" spans="1:3" ht="15.75" thickBot="1">
      <c r="A84" s="76" t="s">
        <v>145</v>
      </c>
      <c r="B84" s="86">
        <f>B46+B64+B82</f>
        <v>184571.05000000002</v>
      </c>
      <c r="C84" s="87">
        <f>C46+C64+C82</f>
        <v>178120.87</v>
      </c>
    </row>
    <row r="85" spans="1:3" ht="15.75" thickBot="1">
      <c r="A85" s="76" t="s">
        <v>146</v>
      </c>
      <c r="B85" s="77">
        <f>B46+B64+B82+B26+B21+B14</f>
        <v>305035.81000000006</v>
      </c>
      <c r="C85" s="78">
        <f>C46+C64+C82+C26+C21+C14</f>
        <v>289339.81</v>
      </c>
    </row>
    <row r="88" spans="1:5" ht="15.75" thickBot="1">
      <c r="A88" s="64" t="s">
        <v>149</v>
      </c>
      <c r="B88" s="64" t="s">
        <v>150</v>
      </c>
      <c r="C88" s="199" t="s">
        <v>42</v>
      </c>
      <c r="D88" s="199"/>
      <c r="E88" s="64"/>
    </row>
    <row r="89" spans="1:5" ht="15.75" thickBot="1">
      <c r="A89" s="64"/>
      <c r="B89" s="145">
        <v>10900.82</v>
      </c>
      <c r="C89" s="143"/>
      <c r="D89" s="143"/>
      <c r="E89" s="64"/>
    </row>
    <row r="90" spans="2:4" ht="15">
      <c r="B90" s="143" t="s">
        <v>43</v>
      </c>
      <c r="C90" s="143" t="s">
        <v>44</v>
      </c>
      <c r="D90" s="64" t="s">
        <v>151</v>
      </c>
    </row>
    <row r="91" spans="1:4" ht="12.75">
      <c r="A91" s="136" t="s">
        <v>152</v>
      </c>
      <c r="B91" s="46">
        <v>17520.84</v>
      </c>
      <c r="C91" s="46">
        <v>17520.84</v>
      </c>
      <c r="D91" s="94">
        <v>10900.82</v>
      </c>
    </row>
    <row r="92" spans="1:4" ht="12.75">
      <c r="A92" s="136" t="s">
        <v>155</v>
      </c>
      <c r="B92" s="46">
        <v>10900.82</v>
      </c>
      <c r="C92" s="46"/>
      <c r="D92" s="94">
        <v>21801.64</v>
      </c>
    </row>
    <row r="93" spans="1:4" ht="12.75">
      <c r="A93" s="136" t="s">
        <v>156</v>
      </c>
      <c r="B93" s="46">
        <v>10900.82</v>
      </c>
      <c r="C93" s="46">
        <v>21801.64</v>
      </c>
      <c r="D93" s="94">
        <v>10900.82</v>
      </c>
    </row>
    <row r="94" spans="1:4" ht="12.75">
      <c r="A94" s="136" t="s">
        <v>165</v>
      </c>
      <c r="B94" s="46">
        <v>10900.82</v>
      </c>
      <c r="C94" s="46">
        <v>10900.82</v>
      </c>
      <c r="D94" s="94">
        <v>10900.82</v>
      </c>
    </row>
    <row r="95" spans="1:4" ht="12.75">
      <c r="A95" s="136" t="s">
        <v>166</v>
      </c>
      <c r="B95" s="46">
        <v>10900.82</v>
      </c>
      <c r="C95" s="46">
        <v>10900.82</v>
      </c>
      <c r="D95" s="94">
        <v>10900.82</v>
      </c>
    </row>
    <row r="96" spans="1:4" ht="12.75">
      <c r="A96" s="136" t="s">
        <v>167</v>
      </c>
      <c r="B96" s="46">
        <v>10900.82</v>
      </c>
      <c r="C96" s="46">
        <v>10900.82</v>
      </c>
      <c r="D96" s="94">
        <v>10900.82</v>
      </c>
    </row>
    <row r="97" spans="1:4" ht="12.75">
      <c r="A97" s="136" t="s">
        <v>168</v>
      </c>
      <c r="B97" s="46">
        <v>10900.82</v>
      </c>
      <c r="C97" s="46">
        <v>10900.82</v>
      </c>
      <c r="D97" s="94">
        <v>10900.82</v>
      </c>
    </row>
    <row r="98" spans="1:4" ht="12.75">
      <c r="A98" s="136" t="s">
        <v>170</v>
      </c>
      <c r="B98" s="46">
        <v>10900.82</v>
      </c>
      <c r="C98" s="46">
        <v>10900.82</v>
      </c>
      <c r="D98" s="94">
        <v>21801.64</v>
      </c>
    </row>
    <row r="99" spans="1:4" ht="12.75">
      <c r="A99" s="149" t="s">
        <v>175</v>
      </c>
      <c r="B99" s="141">
        <v>10900.82</v>
      </c>
      <c r="C99" s="141">
        <v>10900.82</v>
      </c>
      <c r="D99" s="94">
        <v>10900.82</v>
      </c>
    </row>
    <row r="100" spans="1:4" ht="12.75">
      <c r="A100" s="136" t="s">
        <v>176</v>
      </c>
      <c r="B100" s="46">
        <v>10900.82</v>
      </c>
      <c r="C100" s="46">
        <v>10900.82</v>
      </c>
      <c r="D100" s="136">
        <v>10900.82</v>
      </c>
    </row>
    <row r="101" spans="1:4" ht="12.75">
      <c r="A101" s="149" t="s">
        <v>177</v>
      </c>
      <c r="B101" s="46">
        <v>10900.82</v>
      </c>
      <c r="C101" s="46">
        <v>10900.82</v>
      </c>
      <c r="D101" s="136">
        <v>10900.82</v>
      </c>
    </row>
    <row r="102" spans="1:4" ht="12.75">
      <c r="A102" s="136" t="s">
        <v>178</v>
      </c>
      <c r="B102" s="46">
        <v>10900.82</v>
      </c>
      <c r="C102" s="46">
        <v>10900.82</v>
      </c>
      <c r="D102" s="136">
        <v>10900.82</v>
      </c>
    </row>
    <row r="103" spans="1:4" ht="15.75" thickBot="1">
      <c r="A103" s="144" t="s">
        <v>53</v>
      </c>
      <c r="B103" s="144">
        <f>SUM(B91:B102)</f>
        <v>137429.86000000004</v>
      </c>
      <c r="C103" s="144">
        <f>SUM(C91:C102)</f>
        <v>137429.86000000004</v>
      </c>
      <c r="D103" s="150">
        <f>B103-C103+B89</f>
        <v>10900.82</v>
      </c>
    </row>
    <row r="104" spans="1:5" ht="15.75" thickBot="1">
      <c r="A104" s="144"/>
      <c r="B104" s="144"/>
      <c r="C104" s="144"/>
      <c r="D104" s="144"/>
      <c r="E104" s="144"/>
    </row>
    <row r="105" spans="1:5" ht="15.75" thickBot="1">
      <c r="A105" s="64" t="s">
        <v>153</v>
      </c>
      <c r="B105" s="145">
        <v>4406.52</v>
      </c>
      <c r="E105" s="64"/>
    </row>
    <row r="106" spans="1:8" ht="15">
      <c r="A106" s="64"/>
      <c r="B106" s="94"/>
      <c r="E106" s="64"/>
      <c r="G106" t="s">
        <v>171</v>
      </c>
      <c r="H106">
        <v>495.6</v>
      </c>
    </row>
    <row r="107" spans="1:8" ht="12.75">
      <c r="A107" s="136" t="s">
        <v>152</v>
      </c>
      <c r="B107" s="46">
        <v>7082.58</v>
      </c>
      <c r="C107" s="46">
        <v>7082.58</v>
      </c>
      <c r="D107" s="94">
        <v>4406.52</v>
      </c>
      <c r="G107" t="s">
        <v>172</v>
      </c>
      <c r="H107">
        <v>200.34</v>
      </c>
    </row>
    <row r="108" spans="1:8" ht="12.75">
      <c r="A108" s="136" t="s">
        <v>155</v>
      </c>
      <c r="B108" s="46">
        <v>4406.52</v>
      </c>
      <c r="C108" s="46">
        <v>4406.52</v>
      </c>
      <c r="D108" s="94">
        <v>4406.52</v>
      </c>
      <c r="G108" t="s">
        <v>173</v>
      </c>
      <c r="H108">
        <v>116.4</v>
      </c>
    </row>
    <row r="109" spans="1:8" ht="12.75">
      <c r="A109" s="136" t="s">
        <v>156</v>
      </c>
      <c r="B109" s="46">
        <v>4406.52</v>
      </c>
      <c r="C109" s="46">
        <v>4406.52</v>
      </c>
      <c r="D109" s="94">
        <v>4406.52</v>
      </c>
      <c r="G109" t="s">
        <v>174</v>
      </c>
      <c r="H109">
        <v>2689.8</v>
      </c>
    </row>
    <row r="110" spans="1:4" ht="12.75">
      <c r="A110" s="136" t="s">
        <v>165</v>
      </c>
      <c r="B110" s="46">
        <v>4406.52</v>
      </c>
      <c r="C110" s="46">
        <v>4406.52</v>
      </c>
      <c r="D110" s="94">
        <v>8813.04</v>
      </c>
    </row>
    <row r="111" spans="1:4" ht="12.75">
      <c r="A111" s="136" t="s">
        <v>166</v>
      </c>
      <c r="B111" s="46">
        <v>4406.52</v>
      </c>
      <c r="C111" s="46">
        <v>4406.52</v>
      </c>
      <c r="D111" s="94">
        <v>13219.56</v>
      </c>
    </row>
    <row r="112" spans="1:4" ht="12.75">
      <c r="A112" s="136" t="s">
        <v>167</v>
      </c>
      <c r="B112" s="46">
        <v>4406.52</v>
      </c>
      <c r="C112" s="46">
        <v>8813.04</v>
      </c>
      <c r="D112" s="94">
        <v>8813.04</v>
      </c>
    </row>
    <row r="113" spans="1:4" ht="12.75">
      <c r="A113" s="136" t="s">
        <v>168</v>
      </c>
      <c r="B113" s="46">
        <v>4406.52</v>
      </c>
      <c r="C113" s="46">
        <v>4406.52</v>
      </c>
      <c r="D113" s="94">
        <v>8813.04</v>
      </c>
    </row>
    <row r="114" spans="1:4" ht="12.75">
      <c r="A114" s="136" t="s">
        <v>170</v>
      </c>
      <c r="B114" s="46">
        <v>4406.52</v>
      </c>
      <c r="C114" s="46">
        <v>4406.52</v>
      </c>
      <c r="D114" s="94">
        <v>8813.04</v>
      </c>
    </row>
    <row r="115" spans="1:4" ht="12.75">
      <c r="A115" s="149" t="s">
        <v>175</v>
      </c>
      <c r="B115" s="141">
        <v>4406.52</v>
      </c>
      <c r="C115" s="141">
        <v>4406.52</v>
      </c>
      <c r="D115" s="94">
        <v>8813.04</v>
      </c>
    </row>
    <row r="116" spans="1:4" ht="12.75">
      <c r="A116" s="136" t="s">
        <v>176</v>
      </c>
      <c r="B116" s="46">
        <v>4406.52</v>
      </c>
      <c r="C116" s="46">
        <v>4406.52</v>
      </c>
      <c r="D116" s="136">
        <v>8813.04</v>
      </c>
    </row>
    <row r="117" spans="1:4" ht="12.75">
      <c r="A117" s="136" t="s">
        <v>177</v>
      </c>
      <c r="B117" s="46">
        <v>4406.52</v>
      </c>
      <c r="C117" s="46">
        <v>4406.52</v>
      </c>
      <c r="D117" s="136">
        <v>8813.04</v>
      </c>
    </row>
    <row r="118" spans="1:4" ht="12.75">
      <c r="A118" s="136" t="s">
        <v>178</v>
      </c>
      <c r="B118" s="46">
        <v>4406.52</v>
      </c>
      <c r="C118" s="46"/>
      <c r="D118" s="136">
        <v>13219.560000000001</v>
      </c>
    </row>
    <row r="119" spans="1:4" ht="15" customHeight="1" thickBot="1">
      <c r="A119" s="144" t="s">
        <v>53</v>
      </c>
      <c r="B119" s="144">
        <f>SUM(B107:B118)</f>
        <v>55554.30000000002</v>
      </c>
      <c r="C119" s="144">
        <f>SUM(C107:C118)</f>
        <v>55554.30000000002</v>
      </c>
      <c r="D119" s="150">
        <f>B119-C119+B105</f>
        <v>4406.52</v>
      </c>
    </row>
    <row r="120" spans="1:5" ht="14.25" customHeight="1" thickBot="1">
      <c r="A120" s="144"/>
      <c r="B120" s="144"/>
      <c r="C120" s="144"/>
      <c r="D120" s="144"/>
      <c r="E120" s="144"/>
    </row>
    <row r="121" spans="1:5" ht="15.75" thickBot="1">
      <c r="A121" s="64" t="s">
        <v>154</v>
      </c>
      <c r="B121" s="155">
        <v>0</v>
      </c>
      <c r="C121" t="s">
        <v>160</v>
      </c>
      <c r="E121" s="64"/>
    </row>
    <row r="122" spans="1:5" ht="15">
      <c r="A122" s="64"/>
      <c r="B122" s="154"/>
      <c r="E122" s="64"/>
    </row>
    <row r="123" spans="1:4" ht="12.75">
      <c r="A123" s="136" t="s">
        <v>152</v>
      </c>
      <c r="B123" s="46">
        <v>2560.25</v>
      </c>
      <c r="C123" s="46"/>
      <c r="D123" s="94">
        <v>2560.25</v>
      </c>
    </row>
    <row r="124" spans="1:4" ht="12.75">
      <c r="A124" s="136" t="s">
        <v>155</v>
      </c>
      <c r="B124" s="46">
        <v>2560.25</v>
      </c>
      <c r="C124" s="46"/>
      <c r="D124" s="94">
        <v>5120.5</v>
      </c>
    </row>
    <row r="125" spans="1:4" ht="12.75">
      <c r="A125" s="136" t="s">
        <v>156</v>
      </c>
      <c r="B125" s="46">
        <v>2560.25</v>
      </c>
      <c r="C125" s="46"/>
      <c r="D125" s="94">
        <v>7680.75</v>
      </c>
    </row>
    <row r="126" spans="1:4" ht="12.75">
      <c r="A126" s="136" t="s">
        <v>165</v>
      </c>
      <c r="B126" s="46">
        <v>2560.25</v>
      </c>
      <c r="C126" s="46"/>
      <c r="D126" s="94">
        <v>10241</v>
      </c>
    </row>
    <row r="127" spans="1:4" ht="12.75">
      <c r="A127" s="136" t="s">
        <v>166</v>
      </c>
      <c r="B127" s="46">
        <v>2560.25</v>
      </c>
      <c r="C127" s="46"/>
      <c r="D127" s="94">
        <v>12801.25</v>
      </c>
    </row>
    <row r="128" spans="1:4" ht="12.75">
      <c r="A128" s="136" t="s">
        <v>167</v>
      </c>
      <c r="B128" s="46">
        <v>2560.25</v>
      </c>
      <c r="C128" s="46"/>
      <c r="D128" s="94">
        <v>15361.5</v>
      </c>
    </row>
    <row r="129" spans="1:4" ht="12.75">
      <c r="A129" s="136" t="s">
        <v>168</v>
      </c>
      <c r="B129" s="46">
        <v>2560.25</v>
      </c>
      <c r="C129" s="46"/>
      <c r="D129" s="94">
        <v>17921.75</v>
      </c>
    </row>
    <row r="130" spans="1:4" ht="12.75">
      <c r="A130" s="136" t="s">
        <v>170</v>
      </c>
      <c r="B130" s="46">
        <v>2560.25</v>
      </c>
      <c r="C130" s="46"/>
      <c r="D130" s="94">
        <v>20482</v>
      </c>
    </row>
    <row r="131" spans="1:4" ht="12.75">
      <c r="A131" s="149" t="s">
        <v>175</v>
      </c>
      <c r="B131" s="141">
        <v>2560.25</v>
      </c>
      <c r="C131" s="141"/>
      <c r="D131" s="94">
        <v>23042.25</v>
      </c>
    </row>
    <row r="132" spans="1:4" ht="12.75">
      <c r="A132" s="136" t="s">
        <v>176</v>
      </c>
      <c r="B132" s="46">
        <v>2560.25</v>
      </c>
      <c r="C132" s="46"/>
      <c r="D132" s="136">
        <v>25602.5</v>
      </c>
    </row>
    <row r="133" spans="1:4" ht="12.75">
      <c r="A133" s="136" t="s">
        <v>177</v>
      </c>
      <c r="B133" s="46">
        <v>2560.25</v>
      </c>
      <c r="C133" s="46"/>
      <c r="D133" s="136">
        <v>28162.75</v>
      </c>
    </row>
    <row r="134" spans="1:4" ht="12.75">
      <c r="A134" s="136" t="s">
        <v>178</v>
      </c>
      <c r="B134" s="46">
        <v>2560.14</v>
      </c>
      <c r="C134" s="46">
        <v>30722.89</v>
      </c>
      <c r="D134" s="136">
        <v>0</v>
      </c>
    </row>
    <row r="135" spans="1:4" ht="15.75" thickBot="1">
      <c r="A135" s="144" t="s">
        <v>53</v>
      </c>
      <c r="B135" s="144">
        <f>SUM(B123:B134)</f>
        <v>30722.89</v>
      </c>
      <c r="C135" s="144">
        <f>SUM(C123:C134)</f>
        <v>30722.89</v>
      </c>
      <c r="D135" s="150">
        <f>B135-C135+B121</f>
        <v>0</v>
      </c>
    </row>
    <row r="136" spans="1:4" ht="15.75" thickBot="1">
      <c r="A136" s="144"/>
      <c r="B136" s="144"/>
      <c r="C136" s="144"/>
      <c r="D136" s="144"/>
    </row>
    <row r="137" spans="1:5" ht="27.75" customHeight="1" thickBot="1">
      <c r="A137" s="144" t="s">
        <v>55</v>
      </c>
      <c r="B137" s="146">
        <f>B103+B119+B135</f>
        <v>223707.05000000005</v>
      </c>
      <c r="C137" s="147">
        <f>C103+C119+C135</f>
        <v>223707.05000000005</v>
      </c>
      <c r="D137" s="145">
        <f>B89+B105+B121+B137-C137</f>
        <v>15307.339999999997</v>
      </c>
      <c r="E137" s="144"/>
    </row>
    <row r="139" ht="31.5">
      <c r="A139" s="156" t="s">
        <v>186</v>
      </c>
    </row>
    <row r="142" spans="1:3" ht="13.5" thickBot="1">
      <c r="A142" s="2" t="s">
        <v>149</v>
      </c>
      <c r="B142" s="2" t="s">
        <v>150</v>
      </c>
      <c r="C142" s="21" t="s">
        <v>42</v>
      </c>
    </row>
    <row r="143" ht="13.5" thickBot="1">
      <c r="B143" s="145">
        <v>10900.82</v>
      </c>
    </row>
    <row r="144" spans="2:5" ht="12.75">
      <c r="B144" s="2" t="s">
        <v>43</v>
      </c>
      <c r="C144" s="2" t="s">
        <v>44</v>
      </c>
      <c r="D144" s="2" t="s">
        <v>151</v>
      </c>
      <c r="E144" t="s">
        <v>150</v>
      </c>
    </row>
    <row r="145" spans="1:5" ht="12.75">
      <c r="A145" s="46" t="s">
        <v>187</v>
      </c>
      <c r="B145" s="46">
        <v>10900.82</v>
      </c>
      <c r="C145" s="46">
        <v>10900.82</v>
      </c>
      <c r="D145" s="46">
        <v>10900.82</v>
      </c>
      <c r="E145" s="46">
        <v>10900.82</v>
      </c>
    </row>
    <row r="146" spans="1:5" ht="12.75">
      <c r="A146" s="46" t="s">
        <v>188</v>
      </c>
      <c r="B146" s="46">
        <v>10900.82</v>
      </c>
      <c r="C146" s="46">
        <v>10900.82</v>
      </c>
      <c r="D146" s="46">
        <v>10900.82</v>
      </c>
      <c r="E146" s="46">
        <v>10900.82</v>
      </c>
    </row>
    <row r="147" spans="1:5" ht="12.75">
      <c r="A147" s="46" t="s">
        <v>189</v>
      </c>
      <c r="B147" s="46">
        <v>10900.82</v>
      </c>
      <c r="C147" s="46">
        <v>10900.82</v>
      </c>
      <c r="D147" s="46">
        <v>10900.82</v>
      </c>
      <c r="E147" s="46">
        <v>10900.82</v>
      </c>
    </row>
    <row r="148" spans="1:5" ht="12.75">
      <c r="A148" s="46" t="s">
        <v>190</v>
      </c>
      <c r="B148" s="46">
        <v>10900.82</v>
      </c>
      <c r="C148" s="46">
        <v>10900.82</v>
      </c>
      <c r="D148" s="46">
        <v>10900.82</v>
      </c>
      <c r="E148" s="46">
        <v>10900.82</v>
      </c>
    </row>
    <row r="149" spans="1:5" ht="12.75">
      <c r="A149" s="46" t="s">
        <v>191</v>
      </c>
      <c r="B149" s="46"/>
      <c r="C149" s="46"/>
      <c r="D149" s="46"/>
      <c r="E149" s="46"/>
    </row>
    <row r="150" spans="1:5" ht="12.75">
      <c r="A150" s="46" t="s">
        <v>192</v>
      </c>
      <c r="B150" s="46"/>
      <c r="C150" s="46"/>
      <c r="D150" s="46"/>
      <c r="E150" s="46"/>
    </row>
    <row r="151" spans="1:5" ht="12.75">
      <c r="A151" s="46" t="s">
        <v>193</v>
      </c>
      <c r="B151" s="46"/>
      <c r="C151" s="46"/>
      <c r="D151" s="46"/>
      <c r="E151" s="46"/>
    </row>
    <row r="152" spans="1:5" ht="12.75">
      <c r="A152" s="46" t="s">
        <v>194</v>
      </c>
      <c r="B152" s="46"/>
      <c r="C152" s="46"/>
      <c r="D152" s="46"/>
      <c r="E152" s="46"/>
    </row>
    <row r="153" spans="1:5" ht="12.75">
      <c r="A153" s="46" t="s">
        <v>195</v>
      </c>
      <c r="B153" s="46"/>
      <c r="C153" s="46"/>
      <c r="D153" s="46"/>
      <c r="E153" s="46"/>
    </row>
    <row r="154" spans="1:5" ht="12.75">
      <c r="A154" s="46" t="s">
        <v>196</v>
      </c>
      <c r="B154" s="46"/>
      <c r="C154" s="46"/>
      <c r="D154" s="46"/>
      <c r="E154" s="46"/>
    </row>
    <row r="155" spans="1:5" ht="12.75">
      <c r="A155" s="46" t="s">
        <v>197</v>
      </c>
      <c r="B155" s="46"/>
      <c r="C155" s="46"/>
      <c r="D155" s="46"/>
      <c r="E155" s="46"/>
    </row>
    <row r="156" spans="1:5" ht="13.5" thickBot="1">
      <c r="A156" s="46" t="s">
        <v>198</v>
      </c>
      <c r="B156" s="141"/>
      <c r="C156" s="141"/>
      <c r="D156" s="141"/>
      <c r="E156" s="46"/>
    </row>
    <row r="157" spans="1:5" ht="13.5" thickBot="1">
      <c r="A157" s="2" t="s">
        <v>53</v>
      </c>
      <c r="B157" s="157">
        <f>SUM(B145:B156)</f>
        <v>43603.28</v>
      </c>
      <c r="C157" s="159">
        <f>SUM(C145:C156)</f>
        <v>43603.28</v>
      </c>
      <c r="D157" s="157">
        <f>B157-C157+B143</f>
        <v>10900.82</v>
      </c>
      <c r="E157" s="46"/>
    </row>
    <row r="158" ht="13.5" thickBot="1"/>
    <row r="159" spans="1:2" ht="13.5" thickBot="1">
      <c r="A159" s="2" t="s">
        <v>153</v>
      </c>
      <c r="B159" s="145">
        <f>E164</f>
        <v>17626.08</v>
      </c>
    </row>
    <row r="161" spans="1:5" ht="12.75">
      <c r="A161" s="46" t="s">
        <v>187</v>
      </c>
      <c r="B161" s="46">
        <v>4406.52</v>
      </c>
      <c r="C161" s="46"/>
      <c r="D161" s="12">
        <v>17626.08</v>
      </c>
      <c r="E161" s="46">
        <v>13219.56</v>
      </c>
    </row>
    <row r="162" spans="1:5" ht="12.75">
      <c r="A162" s="46" t="s">
        <v>188</v>
      </c>
      <c r="B162" s="46">
        <v>4406.52</v>
      </c>
      <c r="C162" s="46">
        <v>13219.56</v>
      </c>
      <c r="D162" s="12">
        <v>8813.040000000003</v>
      </c>
      <c r="E162" s="46">
        <v>17626.08</v>
      </c>
    </row>
    <row r="163" spans="1:5" ht="12.75">
      <c r="A163" s="46" t="s">
        <v>189</v>
      </c>
      <c r="B163" s="46">
        <v>4406.52</v>
      </c>
      <c r="C163" s="46"/>
      <c r="D163" s="12">
        <v>13219.560000000001</v>
      </c>
      <c r="E163" s="46">
        <v>8813.04</v>
      </c>
    </row>
    <row r="164" spans="1:5" ht="12.75">
      <c r="A164" s="46" t="s">
        <v>190</v>
      </c>
      <c r="B164" s="46">
        <v>13219.56</v>
      </c>
      <c r="C164" s="46">
        <v>4406.52</v>
      </c>
      <c r="D164" s="12"/>
      <c r="E164" s="46">
        <v>17626.08</v>
      </c>
    </row>
    <row r="165" spans="1:5" ht="12.75">
      <c r="A165" s="46" t="s">
        <v>191</v>
      </c>
      <c r="B165" s="46"/>
      <c r="C165" s="46"/>
      <c r="D165" s="12"/>
      <c r="E165" s="46"/>
    </row>
    <row r="166" spans="1:5" ht="12.75">
      <c r="A166" s="46" t="s">
        <v>192</v>
      </c>
      <c r="B166" s="46"/>
      <c r="C166" s="46"/>
      <c r="D166" s="12"/>
      <c r="E166" s="46"/>
    </row>
    <row r="167" spans="1:5" ht="12.75">
      <c r="A167" s="46" t="s">
        <v>193</v>
      </c>
      <c r="B167" s="46"/>
      <c r="C167" s="46"/>
      <c r="D167" s="12"/>
      <c r="E167" s="46"/>
    </row>
    <row r="168" spans="1:5" ht="12.75">
      <c r="A168" s="46" t="s">
        <v>194</v>
      </c>
      <c r="B168" s="46"/>
      <c r="C168" s="46"/>
      <c r="D168" s="12"/>
      <c r="E168" s="46"/>
    </row>
    <row r="169" spans="1:5" ht="12.75">
      <c r="A169" s="46" t="s">
        <v>195</v>
      </c>
      <c r="B169" s="46"/>
      <c r="C169" s="46"/>
      <c r="D169" s="12"/>
      <c r="E169" s="46"/>
    </row>
    <row r="170" spans="1:5" ht="12.75">
      <c r="A170" s="46" t="s">
        <v>196</v>
      </c>
      <c r="B170" s="46"/>
      <c r="C170" s="46"/>
      <c r="D170" s="12"/>
      <c r="E170" s="46"/>
    </row>
    <row r="171" spans="1:5" ht="12.75">
      <c r="A171" s="46" t="s">
        <v>197</v>
      </c>
      <c r="B171" s="46"/>
      <c r="C171" s="46"/>
      <c r="D171" s="12"/>
      <c r="E171" s="46"/>
    </row>
    <row r="172" spans="1:5" ht="13.5" thickBot="1">
      <c r="A172" s="46" t="s">
        <v>198</v>
      </c>
      <c r="B172" s="141"/>
      <c r="C172" s="141"/>
      <c r="D172" s="23"/>
      <c r="E172" s="46"/>
    </row>
    <row r="173" spans="1:5" ht="13.5" thickBot="1">
      <c r="A173" s="2" t="s">
        <v>53</v>
      </c>
      <c r="B173" s="157">
        <f>SUM(B161:B172)</f>
        <v>26439.120000000003</v>
      </c>
      <c r="C173" s="159">
        <f>SUM(C161:C172)</f>
        <v>17626.08</v>
      </c>
      <c r="D173" s="157">
        <f>B173-C173+B159</f>
        <v>26439.120000000003</v>
      </c>
      <c r="E173" s="46"/>
    </row>
    <row r="174" ht="13.5" thickBot="1"/>
    <row r="175" spans="1:2" ht="13.5" thickBot="1">
      <c r="A175" s="2" t="s">
        <v>154</v>
      </c>
      <c r="B175" s="145">
        <f>E180</f>
        <v>10241</v>
      </c>
    </row>
    <row r="176" spans="1:2" ht="12.75">
      <c r="A176" s="2"/>
      <c r="B176" s="14"/>
    </row>
    <row r="177" spans="1:5" ht="12.75">
      <c r="A177" s="46" t="s">
        <v>187</v>
      </c>
      <c r="B177" s="46">
        <v>2560.25</v>
      </c>
      <c r="C177" s="46"/>
      <c r="D177" s="12">
        <v>2560.25</v>
      </c>
      <c r="E177" s="46">
        <v>0</v>
      </c>
    </row>
    <row r="178" spans="1:5" ht="12.75">
      <c r="A178" s="46" t="s">
        <v>188</v>
      </c>
      <c r="B178" s="46">
        <v>2560.25</v>
      </c>
      <c r="C178" s="46"/>
      <c r="D178" s="12">
        <v>5120.5</v>
      </c>
      <c r="E178" s="46">
        <v>2560.25</v>
      </c>
    </row>
    <row r="179" spans="1:5" ht="12.75">
      <c r="A179" s="46" t="s">
        <v>189</v>
      </c>
      <c r="B179" s="46">
        <v>2560.25</v>
      </c>
      <c r="C179" s="46"/>
      <c r="D179" s="12">
        <v>7680.75</v>
      </c>
      <c r="E179" s="46">
        <v>5120.5</v>
      </c>
    </row>
    <row r="180" spans="1:5" ht="12.75">
      <c r="A180" s="46" t="s">
        <v>190</v>
      </c>
      <c r="B180" s="46">
        <v>7680.75</v>
      </c>
      <c r="C180" s="46">
        <v>2560.25</v>
      </c>
      <c r="D180" s="12"/>
      <c r="E180" s="46">
        <v>10241</v>
      </c>
    </row>
    <row r="181" spans="1:5" ht="12.75">
      <c r="A181" s="46" t="s">
        <v>191</v>
      </c>
      <c r="B181" s="46"/>
      <c r="C181" s="46"/>
      <c r="D181" s="12"/>
      <c r="E181" s="46"/>
    </row>
    <row r="182" spans="1:5" ht="12.75">
      <c r="A182" s="46" t="s">
        <v>192</v>
      </c>
      <c r="B182" s="46"/>
      <c r="C182" s="46"/>
      <c r="D182" s="12"/>
      <c r="E182" s="46"/>
    </row>
    <row r="183" spans="1:5" ht="12.75">
      <c r="A183" s="46" t="s">
        <v>193</v>
      </c>
      <c r="B183" s="46"/>
      <c r="C183" s="46"/>
      <c r="D183" s="12"/>
      <c r="E183" s="46"/>
    </row>
    <row r="184" spans="1:5" ht="12.75">
      <c r="A184" s="46" t="s">
        <v>194</v>
      </c>
      <c r="B184" s="46"/>
      <c r="C184" s="46"/>
      <c r="D184" s="12"/>
      <c r="E184" s="46"/>
    </row>
    <row r="185" spans="1:5" ht="12.75">
      <c r="A185" s="46" t="s">
        <v>195</v>
      </c>
      <c r="B185" s="46"/>
      <c r="C185" s="46"/>
      <c r="D185" s="12"/>
      <c r="E185" s="46"/>
    </row>
    <row r="186" spans="1:5" ht="12.75">
      <c r="A186" s="46" t="s">
        <v>196</v>
      </c>
      <c r="B186" s="46"/>
      <c r="C186" s="46"/>
      <c r="D186" s="12"/>
      <c r="E186" s="46"/>
    </row>
    <row r="187" spans="1:5" ht="12.75">
      <c r="A187" s="46" t="s">
        <v>197</v>
      </c>
      <c r="B187" s="46"/>
      <c r="C187" s="46"/>
      <c r="D187" s="12"/>
      <c r="E187" s="46"/>
    </row>
    <row r="188" spans="1:5" ht="13.5" thickBot="1">
      <c r="A188" s="46" t="s">
        <v>198</v>
      </c>
      <c r="B188" s="141"/>
      <c r="C188" s="141"/>
      <c r="D188" s="23">
        <v>0</v>
      </c>
      <c r="E188" s="46"/>
    </row>
    <row r="189" spans="1:5" ht="13.5" thickBot="1">
      <c r="A189" s="14" t="s">
        <v>53</v>
      </c>
      <c r="B189" s="157">
        <f>SUM(B177:B188)</f>
        <v>15361.5</v>
      </c>
      <c r="C189" s="159">
        <f>SUM(C177:C188)</f>
        <v>2560.25</v>
      </c>
      <c r="D189" s="157">
        <f>B189-C189+B175</f>
        <v>23042.25</v>
      </c>
      <c r="E189" s="46"/>
    </row>
    <row r="190" ht="13.5" thickBot="1"/>
    <row r="191" spans="1:5" ht="13.5" thickBot="1">
      <c r="A191" s="2" t="s">
        <v>55</v>
      </c>
      <c r="B191" s="157">
        <f>B157+B173+B189</f>
        <v>85403.9</v>
      </c>
      <c r="C191" s="158">
        <f>C157+C173+C189</f>
        <v>63789.61</v>
      </c>
      <c r="D191" s="159">
        <f>B143+B159+B175+B191-C191</f>
        <v>60382.18999999999</v>
      </c>
      <c r="E191" s="159"/>
    </row>
  </sheetData>
  <sheetProtection/>
  <mergeCells count="3">
    <mergeCell ref="B1:C1"/>
    <mergeCell ref="B32:C32"/>
    <mergeCell ref="C88:D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3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L4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9.625" style="0" customWidth="1"/>
    <col min="4" max="8" width="11.125" style="0" customWidth="1"/>
    <col min="10" max="10" width="9.625" style="0" hidden="1" customWidth="1"/>
    <col min="11" max="12" width="9.125" style="0" hidden="1" customWidth="1"/>
    <col min="14" max="16" width="9.125" style="0" hidden="1" customWidth="1"/>
    <col min="17" max="17" width="9.00390625" style="0" customWidth="1"/>
    <col min="18" max="20" width="9.125" style="0" hidden="1" customWidth="1"/>
  </cols>
  <sheetData>
    <row r="1" spans="1:12" ht="26.25">
      <c r="A1" s="166" t="s">
        <v>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2.75">
      <c r="Y2" s="92"/>
    </row>
    <row r="3" spans="1:12" s="2" customFormat="1" ht="15.75">
      <c r="A3" s="167" t="s">
        <v>18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8" s="2" customFormat="1" ht="15.75">
      <c r="A4" s="167" t="s">
        <v>203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18"/>
      <c r="N4" s="118"/>
      <c r="O4" s="118"/>
      <c r="P4" s="118"/>
      <c r="Q4" s="118"/>
      <c r="R4" s="118"/>
    </row>
    <row r="5" spans="1:18" s="2" customFormat="1" ht="16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118"/>
      <c r="N5" s="118"/>
      <c r="O5" s="118"/>
      <c r="P5" s="118"/>
      <c r="Q5" s="118"/>
      <c r="R5" s="118"/>
    </row>
    <row r="6" spans="3:25" ht="13.5" thickBot="1">
      <c r="C6" s="200" t="s">
        <v>158</v>
      </c>
      <c r="D6" s="201"/>
      <c r="E6" s="201"/>
      <c r="F6" s="201"/>
      <c r="G6" s="201"/>
      <c r="H6" s="201"/>
      <c r="I6" s="202"/>
      <c r="M6" s="200" t="s">
        <v>157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</row>
    <row r="7" spans="1:26" s="4" customFormat="1" ht="48.75" customHeight="1">
      <c r="A7" s="3" t="s">
        <v>0</v>
      </c>
      <c r="B7" s="16" t="s">
        <v>1</v>
      </c>
      <c r="C7" s="17" t="s">
        <v>24</v>
      </c>
      <c r="D7" s="17" t="s">
        <v>26</v>
      </c>
      <c r="E7" s="17" t="s">
        <v>30</v>
      </c>
      <c r="F7" s="17" t="s">
        <v>71</v>
      </c>
      <c r="G7" s="17" t="s">
        <v>148</v>
      </c>
      <c r="H7" s="17" t="s">
        <v>181</v>
      </c>
      <c r="I7" s="17" t="s">
        <v>62</v>
      </c>
      <c r="J7" s="17" t="s">
        <v>58</v>
      </c>
      <c r="K7" s="17" t="s">
        <v>59</v>
      </c>
      <c r="L7" s="17" t="s">
        <v>60</v>
      </c>
      <c r="M7" s="151" t="s">
        <v>73</v>
      </c>
      <c r="N7" s="151" t="s">
        <v>75</v>
      </c>
      <c r="O7" s="151" t="s">
        <v>76</v>
      </c>
      <c r="P7" s="151" t="s">
        <v>77</v>
      </c>
      <c r="Q7" s="151" t="s">
        <v>74</v>
      </c>
      <c r="R7" s="151" t="s">
        <v>162</v>
      </c>
      <c r="S7" s="151" t="s">
        <v>163</v>
      </c>
      <c r="T7" s="151" t="s">
        <v>164</v>
      </c>
      <c r="U7" s="151" t="s">
        <v>147</v>
      </c>
      <c r="V7" s="151" t="s">
        <v>182</v>
      </c>
      <c r="W7" s="151" t="s">
        <v>183</v>
      </c>
      <c r="X7" s="152" t="s">
        <v>184</v>
      </c>
      <c r="Y7" s="153" t="s">
        <v>185</v>
      </c>
      <c r="Z7" s="148" t="s">
        <v>78</v>
      </c>
    </row>
    <row r="8" spans="1:26" ht="38.25">
      <c r="A8" s="6">
        <v>1</v>
      </c>
      <c r="B8" s="19" t="s">
        <v>200</v>
      </c>
      <c r="C8" s="42">
        <f>144.1528/1.18</f>
        <v>122.16338983050849</v>
      </c>
      <c r="D8" s="33">
        <f>432.40992/1.18</f>
        <v>366.4490847457627</v>
      </c>
      <c r="E8" s="33">
        <f>'[2]07.12'!$W$8/1.18/1000</f>
        <v>438.21767796610163</v>
      </c>
      <c r="F8" s="33">
        <f>'[12]01.13'!$W$8/1000/1.18</f>
        <v>548.1690423728813</v>
      </c>
      <c r="G8" s="33">
        <f>'[14]01.14'!$W$6/1.18/1000</f>
        <v>601.6962711864406</v>
      </c>
      <c r="H8" s="33">
        <f>'[16]01.15'!$W$6/1.18/1000</f>
        <v>200.5206694915254</v>
      </c>
      <c r="I8" s="33">
        <f>SUM(C8:H8)</f>
        <v>2277.2161355932203</v>
      </c>
      <c r="J8" s="33">
        <f>'[5]почта муз кв1д7'!B14/1.18</f>
        <v>80.21785593220339</v>
      </c>
      <c r="K8" s="33">
        <f>'[5]почта муз кв1д7'!B21/1.18</f>
        <v>12.669525423728816</v>
      </c>
      <c r="L8" s="33">
        <f>'[5]почта муз кв1д7'!B26/1.18</f>
        <v>9.201398305084748</v>
      </c>
      <c r="M8" s="33">
        <f>L8+K8+J8</f>
        <v>102.08877966101696</v>
      </c>
      <c r="N8" s="33">
        <f>'почта муз кв1д7'!B46/1000/1.18</f>
        <v>95.4278305084746</v>
      </c>
      <c r="O8" s="33">
        <f>'почта муз кв1д7'!B64/1000/1.18</f>
        <v>38.5755338983051</v>
      </c>
      <c r="P8" s="33">
        <f>'почта муз кв1д7'!B82/1.18/1000</f>
        <v>22.41277966101695</v>
      </c>
      <c r="Q8" s="33">
        <f>SUM(N8:P8)</f>
        <v>156.41614406779664</v>
      </c>
      <c r="R8" s="33">
        <f>'почта муз кв1д7'!B103/1.18/1000</f>
        <v>116.4659830508475</v>
      </c>
      <c r="S8" s="33">
        <f>'почта муз кв1д7'!B119/1.18/1000</f>
        <v>47.07991525423731</v>
      </c>
      <c r="T8" s="33">
        <f>'почта муз кв1д7'!B135/1.18/1000</f>
        <v>26.03634745762712</v>
      </c>
      <c r="U8" s="33">
        <f>SUM(R8:T8)</f>
        <v>189.58224576271192</v>
      </c>
      <c r="V8" s="33">
        <f>'почта муз кв1д7'!B157/1.18/1000</f>
        <v>36.95193220338983</v>
      </c>
      <c r="W8" s="33">
        <f>'почта муз кв1д7'!B173/1.18/1000</f>
        <v>22.40603389830509</v>
      </c>
      <c r="X8" s="33">
        <f>'почта муз кв1д7'!B189/1.18/1000</f>
        <v>13.018220338983053</v>
      </c>
      <c r="Y8" s="33">
        <f>V8+W8+X8</f>
        <v>72.37618644067797</v>
      </c>
      <c r="Z8" s="33">
        <f>M8+I8+Q8+U8+Y8</f>
        <v>2797.6794915254236</v>
      </c>
    </row>
    <row r="9" spans="1:28" ht="42.75" customHeight="1">
      <c r="A9" s="6">
        <v>2</v>
      </c>
      <c r="B9" s="19" t="s">
        <v>201</v>
      </c>
      <c r="C9" s="42">
        <f>59.91735/1.18</f>
        <v>50.77741525423729</v>
      </c>
      <c r="D9" s="29">
        <f>472.90861/1.18</f>
        <v>400.7700084745763</v>
      </c>
      <c r="E9" s="29">
        <f>'[2]07.12'!$X$8/1.18/1000</f>
        <v>426.5441610169491</v>
      </c>
      <c r="F9" s="29">
        <f>'[12]01.13'!$X$8/1000/1.18</f>
        <v>542.440338983051</v>
      </c>
      <c r="G9" s="29">
        <f>'[14]01.14'!$X$6/1.18/1000</f>
        <v>623.586033898305</v>
      </c>
      <c r="H9" s="29">
        <f>'[16]01.15'!$X$6/1.18/1000</f>
        <v>199.29261016949152</v>
      </c>
      <c r="I9" s="33">
        <f>SUM(C9:H9)</f>
        <v>2243.41056779661</v>
      </c>
      <c r="J9" s="33">
        <f>'[5]почта муз кв1д7'!C14/1.18</f>
        <v>72.38241525423729</v>
      </c>
      <c r="K9" s="33">
        <f>'[5]почта муз кв1д7'!C21/1.18</f>
        <v>12.669525423728816</v>
      </c>
      <c r="L9" s="33">
        <f>'[5]почта муз кв1д7'!C26/1.18</f>
        <v>9.201398305084746</v>
      </c>
      <c r="M9" s="33">
        <f>L9+K9+J9</f>
        <v>94.25333898305085</v>
      </c>
      <c r="N9" s="33">
        <f>'почта муз кв1д7'!C46/1000/1.18</f>
        <v>94.02528813559323</v>
      </c>
      <c r="O9" s="33">
        <f>'почта муз кв1д7'!C64/1000/1.18</f>
        <v>34.841194915254256</v>
      </c>
      <c r="P9" s="33">
        <f>'почта муз кв1д7'!C82/1000/1.18</f>
        <v>22.083406779661015</v>
      </c>
      <c r="Q9" s="33">
        <f aca="true" t="shared" si="0" ref="Q9:Q19">SUM(N9:P9)</f>
        <v>150.94988983050848</v>
      </c>
      <c r="R9" s="33">
        <f>'почта муз кв1д7'!C103/1.18/1000</f>
        <v>116.4659830508475</v>
      </c>
      <c r="S9" s="33">
        <f>'почта муз кв1д7'!C119/1.18/1000</f>
        <v>47.07991525423731</v>
      </c>
      <c r="T9" s="33">
        <f>'почта муз кв1д7'!C135/1.18/1000</f>
        <v>26.03634745762712</v>
      </c>
      <c r="U9" s="33">
        <f>SUM(R9:T9)</f>
        <v>189.58224576271192</v>
      </c>
      <c r="V9" s="33">
        <f>'почта муз кв1д7'!C157/1.18/1000</f>
        <v>36.95193220338983</v>
      </c>
      <c r="W9" s="33">
        <f>'почта муз кв1д7'!C173/1.18/1000</f>
        <v>14.937355932203392</v>
      </c>
      <c r="X9" s="33">
        <f>'почта муз кв1д7'!C189/1.18/1000</f>
        <v>2.1697033898305085</v>
      </c>
      <c r="Y9" s="33">
        <f>V9+W9+X9</f>
        <v>54.05899152542373</v>
      </c>
      <c r="Z9" s="33">
        <f>M9+I9+Q9+U9+Y9</f>
        <v>2732.255033898305</v>
      </c>
      <c r="AB9" s="92"/>
    </row>
    <row r="10" spans="1:28" ht="37.5" customHeight="1">
      <c r="A10" s="6">
        <v>3</v>
      </c>
      <c r="B10" s="19" t="s">
        <v>202</v>
      </c>
      <c r="C10" s="32">
        <f>(C8-C9)*1.18</f>
        <v>84.23545</v>
      </c>
      <c r="D10" s="29">
        <f>(D8-D9)*1.18+C10</f>
        <v>43.73675999999999</v>
      </c>
      <c r="E10" s="29">
        <f>(E8-E9)*1.18+D10+E11</f>
        <v>57.51150999999999</v>
      </c>
      <c r="F10" s="29">
        <f>(F8-F9)*1.18+E10+F11</f>
        <v>64.2713799999998</v>
      </c>
      <c r="G10" s="29">
        <f>(G8-G9)*1.18+F10+G11</f>
        <v>38.44145999999985</v>
      </c>
      <c r="H10" s="29">
        <f>(H8-H9)*1.18+G10+H11</f>
        <v>39.89056999999983</v>
      </c>
      <c r="I10" s="33">
        <f>H10</f>
        <v>39.89056999999983</v>
      </c>
      <c r="J10" s="29">
        <f>(J8-J9)*1.18</f>
        <v>9.245820000000004</v>
      </c>
      <c r="K10" s="29">
        <f>(K8-K9)*1.18</f>
        <v>0</v>
      </c>
      <c r="L10" s="29">
        <f>(L8-L9)*1.18</f>
        <v>2.0961010704922954E-15</v>
      </c>
      <c r="M10" s="29">
        <f>L10+K10+J10</f>
        <v>9.245820000000005</v>
      </c>
      <c r="N10" s="29">
        <f>(N8-N9)*1.18+J10+N11</f>
        <v>10.90082000000002</v>
      </c>
      <c r="O10" s="29">
        <f>(O8-O9)*1.18+K10+O11</f>
        <v>4.4065199999999995</v>
      </c>
      <c r="P10" s="29">
        <f>(P8-P9)*1.18+L10+P11</f>
        <v>-0.00033999999999656527</v>
      </c>
      <c r="Q10" s="33">
        <f>SUM(N10:P10)</f>
        <v>15.307000000000025</v>
      </c>
      <c r="R10" s="29">
        <f>(R8-R9)*1.18+N10+R11</f>
        <v>10.90082000000002</v>
      </c>
      <c r="S10" s="29">
        <f>(S8-S9)*1.18+O10+S11</f>
        <v>4.4065199999999995</v>
      </c>
      <c r="T10" s="29">
        <f>(T8-T9)*1.18+P10+T11</f>
        <v>-0.00033999999999656527</v>
      </c>
      <c r="U10" s="33">
        <f>SUM(R10:T10)</f>
        <v>15.307000000000025</v>
      </c>
      <c r="V10" s="33">
        <f>(V8-V9)*1.18+R10+V11</f>
        <v>10.90082000000002</v>
      </c>
      <c r="W10" s="33">
        <f>(W8-W9)*1.18+S10+W11</f>
        <v>13.219560000000001</v>
      </c>
      <c r="X10" s="33">
        <f>(X8-X9)*1.18+T10+X11</f>
        <v>12.800910000000004</v>
      </c>
      <c r="Y10" s="33">
        <f>V10+W10+X10</f>
        <v>36.92129000000003</v>
      </c>
      <c r="Z10" s="33">
        <f>I10+Y10</f>
        <v>76.81185999999985</v>
      </c>
      <c r="AB10" s="92"/>
    </row>
    <row r="11" spans="1:26" ht="12.75">
      <c r="A11" s="6"/>
      <c r="B11" s="12" t="s">
        <v>159</v>
      </c>
      <c r="C11" s="18"/>
      <c r="D11" s="22"/>
      <c r="E11" s="61"/>
      <c r="F11" s="97"/>
      <c r="G11" s="97"/>
      <c r="H11" s="97"/>
      <c r="I11" s="33">
        <f>SUM(C11:G11)</f>
        <v>0</v>
      </c>
      <c r="J11" s="46"/>
      <c r="K11" s="46"/>
      <c r="L11" s="46"/>
      <c r="M11" s="46"/>
      <c r="N11" s="46"/>
      <c r="O11" s="46"/>
      <c r="P11" s="46">
        <v>-0.389</v>
      </c>
      <c r="Q11" s="33">
        <f>SUM(N11:P11)</f>
        <v>-0.389</v>
      </c>
      <c r="R11" s="33"/>
      <c r="S11" s="33"/>
      <c r="T11" s="33"/>
      <c r="U11" s="33">
        <f aca="true" t="shared" si="1" ref="U11:U19">SUM(R11:T11)</f>
        <v>0</v>
      </c>
      <c r="V11" s="33"/>
      <c r="W11" s="33"/>
      <c r="X11" s="33"/>
      <c r="Y11" s="33"/>
      <c r="Z11" s="33">
        <f aca="true" t="shared" si="2" ref="Z11:Z19">M11+I11+Q11+U11</f>
        <v>-0.389</v>
      </c>
    </row>
    <row r="12" spans="1:30" ht="31.5" customHeight="1">
      <c r="A12" s="6">
        <v>4</v>
      </c>
      <c r="B12" s="19" t="s">
        <v>2</v>
      </c>
      <c r="C12" s="29">
        <f aca="true" t="shared" si="3" ref="C12:H12">SUM(C13:C19)</f>
        <v>90.52110218309798</v>
      </c>
      <c r="D12" s="29">
        <f t="shared" si="3"/>
        <v>432.0445633893867</v>
      </c>
      <c r="E12" s="62">
        <f t="shared" si="3"/>
        <v>545.350092238839</v>
      </c>
      <c r="F12" s="62">
        <f t="shared" si="3"/>
        <v>822.7920007867777</v>
      </c>
      <c r="G12" s="62">
        <f t="shared" si="3"/>
        <v>844.265554677966</v>
      </c>
      <c r="H12" s="62">
        <f t="shared" si="3"/>
        <v>596.4644304237287</v>
      </c>
      <c r="I12" s="33">
        <f>SUM(C12:H12)</f>
        <v>3331.437743699796</v>
      </c>
      <c r="J12" s="29"/>
      <c r="K12" s="29"/>
      <c r="L12" s="29"/>
      <c r="M12" s="29"/>
      <c r="N12" s="29"/>
      <c r="O12" s="29"/>
      <c r="P12" s="29"/>
      <c r="Q12" s="33">
        <f t="shared" si="0"/>
        <v>0</v>
      </c>
      <c r="R12" s="33"/>
      <c r="S12" s="33"/>
      <c r="T12" s="33"/>
      <c r="U12" s="33">
        <f t="shared" si="1"/>
        <v>0</v>
      </c>
      <c r="V12" s="33"/>
      <c r="W12" s="33"/>
      <c r="X12" s="33"/>
      <c r="Y12" s="33"/>
      <c r="Z12" s="33">
        <f>M12+I12+Q12+U12</f>
        <v>3331.437743699796</v>
      </c>
      <c r="AB12" s="60"/>
      <c r="AC12" s="60"/>
      <c r="AD12" s="60"/>
    </row>
    <row r="13" spans="1:26" ht="12.75">
      <c r="A13" s="28" t="s">
        <v>9</v>
      </c>
      <c r="B13" s="12" t="s">
        <v>4</v>
      </c>
      <c r="C13" s="29">
        <f>'[1]кв.1д7'!$AT$45</f>
        <v>6.247227122200003</v>
      </c>
      <c r="D13" s="39">
        <f>'[6]кв.1д7'!$AT$45</f>
        <v>75.27229700000001</v>
      </c>
      <c r="E13" s="39">
        <f>'[4]кв.1д7'!$AT$45</f>
        <v>22.39418</v>
      </c>
      <c r="F13" s="39">
        <f>'[9]кв.1д7'!$AT$45</f>
        <v>28.154780000000002</v>
      </c>
      <c r="G13" s="39">
        <f>'[13]кв.1д7'!$AT$45</f>
        <v>81.06979</v>
      </c>
      <c r="H13" s="39">
        <f>'[15]кв.1д7'!$AT$45</f>
        <v>118.43638999999999</v>
      </c>
      <c r="I13" s="33">
        <f aca="true" t="shared" si="4" ref="I13:I19">SUM(C13:H13)</f>
        <v>331.57466412220003</v>
      </c>
      <c r="J13" s="29"/>
      <c r="K13" s="29"/>
      <c r="L13" s="29"/>
      <c r="M13" s="29"/>
      <c r="N13" s="29"/>
      <c r="O13" s="29"/>
      <c r="P13" s="29"/>
      <c r="Q13" s="33">
        <f t="shared" si="0"/>
        <v>0</v>
      </c>
      <c r="R13" s="33"/>
      <c r="S13" s="33"/>
      <c r="T13" s="33"/>
      <c r="U13" s="33">
        <f t="shared" si="1"/>
        <v>0</v>
      </c>
      <c r="V13" s="33"/>
      <c r="W13" s="33"/>
      <c r="X13" s="33"/>
      <c r="Y13" s="33"/>
      <c r="Z13" s="33">
        <f t="shared" si="2"/>
        <v>331.57466412220003</v>
      </c>
    </row>
    <row r="14" spans="1:26" ht="12.75">
      <c r="A14" s="28" t="s">
        <v>10</v>
      </c>
      <c r="B14" s="12" t="s">
        <v>14</v>
      </c>
      <c r="C14" s="27">
        <f>'[1]кв.1д7'!$AT$54+'[1]кв.1д7'!$AT$58</f>
        <v>42.27152377915332</v>
      </c>
      <c r="D14" s="29">
        <f>'[6]кв.1д7'!$AT$54+'[6]кв.1д7'!$AT$58</f>
        <v>212.9514238145801</v>
      </c>
      <c r="E14" s="29">
        <f>'[4]кв.1д7'!$AT$54+'[4]кв.1д7'!$AT$58</f>
        <v>340.573766058479</v>
      </c>
      <c r="F14" s="29">
        <f>'[9]кв.1д7'!$AT$54+'[9]кв.1д7'!$AT$58</f>
        <v>454.20235792415707</v>
      </c>
      <c r="G14" s="39">
        <f>'[13]кв.1д7'!$AT$54+'[13]кв.1д7'!$AT$58</f>
        <v>529.14638</v>
      </c>
      <c r="H14" s="39">
        <f>'[15]кв.1д7'!$AT$54+'[15]кв.1д7'!$AT$58</f>
        <v>395.90737</v>
      </c>
      <c r="I14" s="33">
        <f t="shared" si="4"/>
        <v>1975.0528215763693</v>
      </c>
      <c r="J14" s="29"/>
      <c r="K14" s="29"/>
      <c r="L14" s="29"/>
      <c r="M14" s="29"/>
      <c r="N14" s="29"/>
      <c r="O14" s="29"/>
      <c r="P14" s="29"/>
      <c r="Q14" s="33">
        <f t="shared" si="0"/>
        <v>0</v>
      </c>
      <c r="R14" s="33"/>
      <c r="S14" s="33"/>
      <c r="T14" s="33"/>
      <c r="U14" s="33">
        <f t="shared" si="1"/>
        <v>0</v>
      </c>
      <c r="V14" s="33"/>
      <c r="W14" s="33"/>
      <c r="X14" s="33"/>
      <c r="Y14" s="33"/>
      <c r="Z14" s="33">
        <f t="shared" si="2"/>
        <v>1975.0528215763693</v>
      </c>
    </row>
    <row r="15" spans="1:26" ht="12.75">
      <c r="A15" s="28" t="s">
        <v>11</v>
      </c>
      <c r="B15" s="12" t="s">
        <v>5</v>
      </c>
      <c r="C15" s="29">
        <f>'[1]кв.1д7'!$AT$81</f>
        <v>17.747530887174328</v>
      </c>
      <c r="D15" s="29">
        <f>'[6]кв.1д7'!$AT$81</f>
        <v>58.97203562484473</v>
      </c>
      <c r="E15" s="29">
        <f>'[4]кв.1д7'!$AT$81</f>
        <v>63.008125500000006</v>
      </c>
      <c r="F15" s="29">
        <f>'[9]кв.1д7'!$AT$81</f>
        <v>141.28474920000005</v>
      </c>
      <c r="G15" s="39">
        <f>'[13]кв.1д7'!$AT$81</f>
        <v>79.713504</v>
      </c>
      <c r="H15" s="39">
        <f>'[15]кв.1д7'!$AT$81</f>
        <v>28.326510000000003</v>
      </c>
      <c r="I15" s="33">
        <f t="shared" si="4"/>
        <v>389.0524552120191</v>
      </c>
      <c r="J15" s="29"/>
      <c r="K15" s="29"/>
      <c r="L15" s="29"/>
      <c r="M15" s="29"/>
      <c r="N15" s="29"/>
      <c r="O15" s="29"/>
      <c r="P15" s="29"/>
      <c r="Q15" s="33">
        <f t="shared" si="0"/>
        <v>0</v>
      </c>
      <c r="R15" s="33"/>
      <c r="S15" s="33"/>
      <c r="T15" s="33"/>
      <c r="U15" s="33">
        <f t="shared" si="1"/>
        <v>0</v>
      </c>
      <c r="V15" s="33"/>
      <c r="W15" s="33"/>
      <c r="X15" s="33"/>
      <c r="Y15" s="33"/>
      <c r="Z15" s="33">
        <f t="shared" si="2"/>
        <v>389.0524552120191</v>
      </c>
    </row>
    <row r="16" spans="1:26" ht="12.75">
      <c r="A16" s="28" t="s">
        <v>12</v>
      </c>
      <c r="B16" s="12" t="s">
        <v>6</v>
      </c>
      <c r="C16" s="29">
        <f>'[1]кв.1д7'!$AT$83</f>
        <v>0.28859999999999975</v>
      </c>
      <c r="D16" s="29">
        <f>'[6]кв.1д7'!$AT$83</f>
        <v>2.8330966103427935</v>
      </c>
      <c r="E16" s="29">
        <f>'[4]кв.1д7'!$AT$83</f>
        <v>17.40241039146345</v>
      </c>
      <c r="F16" s="29">
        <f>'[9]кв.1д7'!$AT$83</f>
        <v>115.7155100250686</v>
      </c>
      <c r="G16" s="39">
        <f>'[13]кв.1д7'!$AT$83</f>
        <v>60.93266</v>
      </c>
      <c r="H16" s="39">
        <f>'[15]кв.1д7'!$AT$83</f>
        <v>23.13251</v>
      </c>
      <c r="I16" s="33">
        <f t="shared" si="4"/>
        <v>220.30478702687483</v>
      </c>
      <c r="J16" s="29"/>
      <c r="K16" s="29"/>
      <c r="L16" s="29"/>
      <c r="M16" s="29"/>
      <c r="N16" s="29"/>
      <c r="O16" s="29"/>
      <c r="P16" s="29"/>
      <c r="Q16" s="33">
        <f t="shared" si="0"/>
        <v>0</v>
      </c>
      <c r="R16" s="33"/>
      <c r="S16" s="33"/>
      <c r="T16" s="33"/>
      <c r="U16" s="33">
        <f t="shared" si="1"/>
        <v>0</v>
      </c>
      <c r="V16" s="33"/>
      <c r="W16" s="33"/>
      <c r="X16" s="33"/>
      <c r="Y16" s="33"/>
      <c r="Z16" s="33">
        <f t="shared" si="2"/>
        <v>220.30478702687483</v>
      </c>
    </row>
    <row r="17" spans="1:26" ht="12.75">
      <c r="A17" s="28" t="s">
        <v>13</v>
      </c>
      <c r="B17" s="12" t="s">
        <v>7</v>
      </c>
      <c r="C17" s="29">
        <f>'[1]кв.1д7'!$AT$123</f>
        <v>5.465165842216273</v>
      </c>
      <c r="D17" s="29">
        <f>'[6]кв.1д7'!$AT$123</f>
        <v>26.8375566277547</v>
      </c>
      <c r="E17" s="29">
        <f>'[4]кв.1д7'!$AT$123</f>
        <v>35.748258145263385</v>
      </c>
      <c r="F17" s="29">
        <f>'[9]кв.1д7'!$AT$123</f>
        <v>0</v>
      </c>
      <c r="G17" s="39">
        <f>'[13]кв.1д7'!$AT$123</f>
        <v>0</v>
      </c>
      <c r="H17" s="39">
        <f>'[15]кв.1д7'!$AT$123</f>
        <v>0</v>
      </c>
      <c r="I17" s="33">
        <f t="shared" si="4"/>
        <v>68.05098061523435</v>
      </c>
      <c r="J17" s="29"/>
      <c r="K17" s="29"/>
      <c r="L17" s="29"/>
      <c r="M17" s="29"/>
      <c r="N17" s="29"/>
      <c r="O17" s="29"/>
      <c r="P17" s="29"/>
      <c r="Q17" s="33">
        <f t="shared" si="0"/>
        <v>0</v>
      </c>
      <c r="R17" s="33"/>
      <c r="S17" s="33"/>
      <c r="T17" s="33"/>
      <c r="U17" s="33">
        <f t="shared" si="1"/>
        <v>0</v>
      </c>
      <c r="V17" s="33"/>
      <c r="W17" s="33"/>
      <c r="X17" s="33"/>
      <c r="Y17" s="33"/>
      <c r="Z17" s="33">
        <f t="shared" si="2"/>
        <v>68.05098061523435</v>
      </c>
    </row>
    <row r="18" spans="1:26" ht="12.75">
      <c r="A18" s="28" t="s">
        <v>15</v>
      </c>
      <c r="B18" s="44" t="s">
        <v>19</v>
      </c>
      <c r="C18" s="29">
        <f>'[1]кв.1д7'!$AT$78+'[1]кв.1д7'!$AT$75+'[1]кв.1д7'!$AT$68+'[1]кв.1д7'!$AT$63</f>
        <v>0.17654607777777778</v>
      </c>
      <c r="D18" s="29">
        <f>'[6]кв.1д7'!$AT$79+'[6]кв.1д7'!$AT$78+'[6]кв.1д7'!$AT$68</f>
        <v>0.210791</v>
      </c>
      <c r="E18" s="29">
        <f>'[4]кв.1д7'!$AT$66-'[4]кв.1д7'!$AT$81</f>
        <v>0.49070044871794494</v>
      </c>
      <c r="F18" s="29">
        <f>'[9]кв.1д7'!$AT$66-'[9]кв.1д7'!$AT$81</f>
        <v>1.209247281619838</v>
      </c>
      <c r="G18" s="39">
        <f>'[13]кв.1д7'!$AT$66-'[13]кв.1д7'!$AT$81</f>
        <v>3.148779999999988</v>
      </c>
      <c r="H18" s="39">
        <f>'[15]кв.1д7'!$AT$66-'[15]кв.1д7'!$AT$81</f>
        <v>0.5835499999999989</v>
      </c>
      <c r="I18" s="33">
        <f t="shared" si="4"/>
        <v>5.819614808115547</v>
      </c>
      <c r="J18" s="29"/>
      <c r="K18" s="29"/>
      <c r="L18" s="29"/>
      <c r="M18" s="29"/>
      <c r="N18" s="29"/>
      <c r="O18" s="29"/>
      <c r="P18" s="29"/>
      <c r="Q18" s="33">
        <f t="shared" si="0"/>
        <v>0</v>
      </c>
      <c r="R18" s="33"/>
      <c r="S18" s="33"/>
      <c r="T18" s="33"/>
      <c r="U18" s="33">
        <f t="shared" si="1"/>
        <v>0</v>
      </c>
      <c r="V18" s="33"/>
      <c r="W18" s="33"/>
      <c r="X18" s="33"/>
      <c r="Y18" s="33"/>
      <c r="Z18" s="33">
        <f t="shared" si="2"/>
        <v>5.819614808115547</v>
      </c>
    </row>
    <row r="19" spans="1:26" ht="39" thickBot="1">
      <c r="A19" s="69" t="s">
        <v>37</v>
      </c>
      <c r="B19" s="68" t="s">
        <v>38</v>
      </c>
      <c r="C19" s="70">
        <f aca="true" t="shared" si="5" ref="C19:H19">C8*15%</f>
        <v>18.324508474576273</v>
      </c>
      <c r="D19" s="70">
        <f t="shared" si="5"/>
        <v>54.9673627118644</v>
      </c>
      <c r="E19" s="70">
        <f t="shared" si="5"/>
        <v>65.73265169491525</v>
      </c>
      <c r="F19" s="70">
        <f t="shared" si="5"/>
        <v>82.22535635593219</v>
      </c>
      <c r="G19" s="70">
        <f t="shared" si="5"/>
        <v>90.25444067796609</v>
      </c>
      <c r="H19" s="70">
        <f t="shared" si="5"/>
        <v>30.07810042372881</v>
      </c>
      <c r="I19" s="33">
        <f t="shared" si="4"/>
        <v>341.582420338983</v>
      </c>
      <c r="J19" s="70"/>
      <c r="K19" s="70"/>
      <c r="L19" s="70"/>
      <c r="M19" s="70"/>
      <c r="N19" s="70"/>
      <c r="O19" s="70"/>
      <c r="P19" s="70"/>
      <c r="Q19" s="33">
        <f t="shared" si="0"/>
        <v>0</v>
      </c>
      <c r="R19" s="33"/>
      <c r="S19" s="33"/>
      <c r="T19" s="33"/>
      <c r="U19" s="33">
        <f t="shared" si="1"/>
        <v>0</v>
      </c>
      <c r="V19" s="33"/>
      <c r="W19" s="33"/>
      <c r="X19" s="33"/>
      <c r="Y19" s="33"/>
      <c r="Z19" s="33">
        <f t="shared" si="2"/>
        <v>341.582420338983</v>
      </c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26" ht="12.75">
      <c r="A23" s="9"/>
      <c r="B23" s="9"/>
      <c r="C23" s="9"/>
      <c r="D23" s="188" t="s">
        <v>179</v>
      </c>
      <c r="E23" s="203"/>
      <c r="F23" s="47">
        <f>Z12</f>
        <v>3331.437743699796</v>
      </c>
      <c r="G23" s="9"/>
      <c r="H23" s="9"/>
      <c r="Z23" s="92"/>
    </row>
    <row r="24" spans="4:26" ht="25.5" customHeight="1">
      <c r="D24" s="204" t="s">
        <v>180</v>
      </c>
      <c r="E24" s="205"/>
      <c r="F24" s="47">
        <f>Z9</f>
        <v>2732.255033898305</v>
      </c>
      <c r="H24" s="92"/>
      <c r="Z24" s="92"/>
    </row>
    <row r="25" spans="2:26" s="2" customFormat="1" ht="12.75">
      <c r="B25" s="46" t="s">
        <v>199</v>
      </c>
      <c r="C25" s="67"/>
      <c r="D25" s="67"/>
      <c r="E25" s="6"/>
      <c r="F25" s="47">
        <f>Z12-Z9</f>
        <v>599.182709801491</v>
      </c>
      <c r="G25" s="92"/>
      <c r="H25" s="92"/>
      <c r="Z25" s="118"/>
    </row>
    <row r="26" ht="12.75">
      <c r="F26" s="1" t="s">
        <v>161</v>
      </c>
    </row>
    <row r="28" spans="1:25" s="9" customFormat="1" ht="63" customHeight="1">
      <c r="A28" s="179" t="s">
        <v>17</v>
      </c>
      <c r="B28" s="179"/>
      <c r="E28" s="9" t="s">
        <v>63</v>
      </c>
      <c r="M28" s="14" t="s">
        <v>57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s="9" customFormat="1" ht="12.75">
      <c r="B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 s="9" customFormat="1" ht="12.75">
      <c r="B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 s="9" customFormat="1" ht="12.75">
      <c r="B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3" spans="1:25" ht="12.75">
      <c r="A33" s="14" t="s">
        <v>79</v>
      </c>
      <c r="B33" s="14"/>
      <c r="E33" t="s">
        <v>63</v>
      </c>
      <c r="M33" s="14" t="s">
        <v>68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="9" customFormat="1" ht="12.75">
      <c r="I34"/>
    </row>
    <row r="35" s="9" customFormat="1" ht="12.75"/>
    <row r="36" s="9" customFormat="1" ht="12.75"/>
    <row r="37" s="9" customFormat="1" ht="12.75"/>
    <row r="38" spans="1:9" ht="12.75">
      <c r="A38" s="11" t="s">
        <v>8</v>
      </c>
      <c r="B38" s="9"/>
      <c r="C38" s="9"/>
      <c r="D38" s="9"/>
      <c r="E38" s="9"/>
      <c r="F38" s="9"/>
      <c r="G38" s="9"/>
      <c r="H38" s="9"/>
      <c r="I38" s="9"/>
    </row>
    <row r="39" spans="1:9" ht="12.75">
      <c r="A39" s="9" t="s">
        <v>169</v>
      </c>
      <c r="B39" s="9"/>
      <c r="C39" s="9"/>
      <c r="D39" s="9"/>
      <c r="E39" s="9"/>
      <c r="F39" s="9"/>
      <c r="G39" s="9"/>
      <c r="H39" s="9"/>
      <c r="I39" s="9"/>
    </row>
    <row r="40" spans="1:9" ht="12.75">
      <c r="A40" s="9" t="s">
        <v>40</v>
      </c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</sheetData>
  <sheetProtection/>
  <mergeCells count="8">
    <mergeCell ref="M6:Y6"/>
    <mergeCell ref="A4:L4"/>
    <mergeCell ref="A3:L3"/>
    <mergeCell ref="A1:L1"/>
    <mergeCell ref="A28:B28"/>
    <mergeCell ref="C6:I6"/>
    <mergeCell ref="D23:E23"/>
    <mergeCell ref="D24:E24"/>
  </mergeCells>
  <printOptions/>
  <pageMargins left="0.94" right="0.2362204724409449" top="0.23" bottom="0.2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5:O47"/>
  <sheetViews>
    <sheetView view="pageBreakPreview" zoomScaleSheetLayoutView="100" zoomScalePageLayoutView="0" workbookViewId="0" topLeftCell="A7">
      <selection activeCell="G18" sqref="G18"/>
    </sheetView>
  </sheetViews>
  <sheetFormatPr defaultColWidth="9.00390625" defaultRowHeight="12.75"/>
  <cols>
    <col min="1" max="1" width="5.375" style="0" customWidth="1"/>
    <col min="2" max="2" width="35.625" style="0" customWidth="1"/>
    <col min="3" max="3" width="9.625" style="0" customWidth="1"/>
    <col min="4" max="6" width="11.125" style="0" customWidth="1"/>
    <col min="7" max="7" width="11.00390625" style="0" customWidth="1"/>
    <col min="8" max="8" width="9.625" style="0" customWidth="1"/>
  </cols>
  <sheetData>
    <row r="5" spans="1:7" ht="26.25">
      <c r="A5" s="166" t="s">
        <v>3</v>
      </c>
      <c r="B5" s="166"/>
      <c r="C5" s="166"/>
      <c r="D5" s="166"/>
      <c r="E5" s="166"/>
      <c r="F5" s="166"/>
      <c r="G5" s="166"/>
    </row>
    <row r="7" spans="1:7" s="2" customFormat="1" ht="15.75">
      <c r="A7" s="31"/>
      <c r="B7" s="167" t="s">
        <v>18</v>
      </c>
      <c r="C7" s="167"/>
      <c r="D7" s="167"/>
      <c r="E7" s="167"/>
      <c r="F7" s="167"/>
      <c r="G7" s="167"/>
    </row>
    <row r="8" spans="1:7" s="2" customFormat="1" ht="15.75">
      <c r="A8" s="167" t="s">
        <v>137</v>
      </c>
      <c r="B8" s="167"/>
      <c r="C8" s="167"/>
      <c r="D8" s="167"/>
      <c r="E8" s="167"/>
      <c r="F8" s="167"/>
      <c r="G8" s="167"/>
    </row>
    <row r="9" s="2" customFormat="1" ht="12.75">
      <c r="B9" s="21"/>
    </row>
    <row r="10" spans="2:7" s="2" customFormat="1" ht="12.75">
      <c r="B10" s="20"/>
      <c r="C10" s="20"/>
      <c r="D10" s="20"/>
      <c r="E10" s="20"/>
      <c r="F10" s="20"/>
      <c r="G10" s="20"/>
    </row>
    <row r="11" s="2" customFormat="1" ht="12.75">
      <c r="B11" s="1"/>
    </row>
    <row r="12" ht="13.5" thickBot="1"/>
    <row r="13" spans="1:7" s="4" customFormat="1" ht="48.75" customHeight="1">
      <c r="A13" s="3" t="s">
        <v>0</v>
      </c>
      <c r="B13" s="16" t="s">
        <v>1</v>
      </c>
      <c r="C13" s="17" t="s">
        <v>25</v>
      </c>
      <c r="D13" s="17" t="s">
        <v>26</v>
      </c>
      <c r="E13" s="17" t="s">
        <v>30</v>
      </c>
      <c r="F13" s="17" t="s">
        <v>71</v>
      </c>
      <c r="G13" s="17" t="s">
        <v>78</v>
      </c>
    </row>
    <row r="14" spans="1:7" ht="25.5">
      <c r="A14" s="6">
        <v>1</v>
      </c>
      <c r="B14" s="19" t="s">
        <v>138</v>
      </c>
      <c r="C14" s="35">
        <f>454.2282/1.18</f>
        <v>384.93915254237294</v>
      </c>
      <c r="D14" s="33">
        <f>838.99814/1.18</f>
        <v>711.015372881356</v>
      </c>
      <c r="E14" s="33">
        <f>'[10]внутридомовое'!$AJ$9/1.18/1000</f>
        <v>808.580186440678</v>
      </c>
      <c r="F14" s="33">
        <f>'[11]03.2013'!$P$5/1000/1.18</f>
        <v>781.9295847457626</v>
      </c>
      <c r="G14" s="33">
        <f>SUM(C14:F14)</f>
        <v>2686.464296610169</v>
      </c>
    </row>
    <row r="15" spans="1:7" ht="27.75" customHeight="1">
      <c r="A15" s="6">
        <v>2</v>
      </c>
      <c r="B15" s="19" t="s">
        <v>139</v>
      </c>
      <c r="C15" s="42">
        <f>248.84428/1.18</f>
        <v>210.88498305084747</v>
      </c>
      <c r="D15" s="29">
        <f>788.7995/1.18</f>
        <v>668.4741525423728</v>
      </c>
      <c r="E15" s="29">
        <f>'[10]внутридомовое'!$AK$9/1.18/1000</f>
        <v>775.8887542372881</v>
      </c>
      <c r="F15" s="29">
        <f>'[11]03.2013'!$Q$5/1.18/1000</f>
        <v>727.3571949152542</v>
      </c>
      <c r="G15" s="33">
        <f aca="true" t="shared" si="0" ref="G15:G25">SUM(C15:F15)</f>
        <v>2382.6050847457627</v>
      </c>
    </row>
    <row r="16" spans="1:7" ht="25.5">
      <c r="A16" s="6">
        <v>3</v>
      </c>
      <c r="B16" s="19" t="s">
        <v>140</v>
      </c>
      <c r="C16" s="32">
        <f>(C14-C15)*1.18</f>
        <v>205.38392000000005</v>
      </c>
      <c r="D16" s="29">
        <f>(D14-D15)*1.18+C16+D17</f>
        <v>237.6307900000002</v>
      </c>
      <c r="E16" s="29">
        <f>(E14-E15)*1.18+D16+E17</f>
        <v>247.95182000000017</v>
      </c>
      <c r="F16" s="29">
        <f>(F14-F15)*1.18+E16+F17</f>
        <v>312.34723999999994</v>
      </c>
      <c r="G16" s="29">
        <f>(G14-G15)*1.18+G17</f>
        <v>312.3472399999996</v>
      </c>
    </row>
    <row r="17" spans="1:7" ht="12.75">
      <c r="A17" s="6"/>
      <c r="B17" s="12" t="s">
        <v>28</v>
      </c>
      <c r="C17" s="18"/>
      <c r="D17" s="40">
        <v>-17.95177</v>
      </c>
      <c r="E17" s="61">
        <f>-'[10]внутридомовое'!$AL$9/1000</f>
        <v>-28.25486</v>
      </c>
      <c r="F17" s="29"/>
      <c r="G17" s="33">
        <f t="shared" si="0"/>
        <v>-46.206630000000004</v>
      </c>
    </row>
    <row r="18" spans="1:15" ht="31.5" customHeight="1">
      <c r="A18" s="6">
        <v>4</v>
      </c>
      <c r="B18" s="19" t="s">
        <v>2</v>
      </c>
      <c r="C18" s="29">
        <f>SUM(C19:C25)</f>
        <v>246.99840888135594</v>
      </c>
      <c r="D18" s="29">
        <f>SUM(D19:D25)</f>
        <v>872.1785219108833</v>
      </c>
      <c r="E18" s="62">
        <f>SUM(E19:E25)</f>
        <v>777.8803079661018</v>
      </c>
      <c r="F18" s="62">
        <f>SUM(F19:F25)</f>
        <v>613.1259877118644</v>
      </c>
      <c r="G18" s="33">
        <f t="shared" si="0"/>
        <v>2510.183226470205</v>
      </c>
      <c r="H18" s="92">
        <f>G18-G14</f>
        <v>-176.28107013996396</v>
      </c>
      <c r="I18" s="60"/>
      <c r="J18" s="60"/>
      <c r="K18" s="60"/>
      <c r="L18" s="60"/>
      <c r="M18" s="60"/>
      <c r="N18" s="60"/>
      <c r="O18" s="60"/>
    </row>
    <row r="19" spans="1:7" ht="12.75">
      <c r="A19" s="28" t="s">
        <v>9</v>
      </c>
      <c r="B19" s="12" t="s">
        <v>4</v>
      </c>
      <c r="C19" s="29">
        <f>'[1]Октяб.рн Первомайс 4а'!$AT$45</f>
        <v>17.58921</v>
      </c>
      <c r="D19" s="39">
        <f>'[6]Октяб.рн Первомайс 4а'!$AT$45</f>
        <v>109.24595000000001</v>
      </c>
      <c r="E19" s="39">
        <f>'[4]Октяб.рн Первомайс 4а'!$AT$45</f>
        <v>70.32356</v>
      </c>
      <c r="F19" s="39">
        <f>'[9]Октяб.рн Первомайс 4а'!$AT$45</f>
        <v>65.18028</v>
      </c>
      <c r="G19" s="33">
        <f t="shared" si="0"/>
        <v>262.339</v>
      </c>
    </row>
    <row r="20" spans="1:7" ht="12.75">
      <c r="A20" s="28" t="s">
        <v>10</v>
      </c>
      <c r="B20" s="12" t="s">
        <v>14</v>
      </c>
      <c r="C20" s="27">
        <f>'[1]Октяб.рн Первомайс 4а'!$AT$54+'[1]Октяб.рн Первомайс 4а'!$AT$58</f>
        <v>115.85971899999998</v>
      </c>
      <c r="D20" s="29">
        <f>'[6]Октяб.рн Первомайс 4а'!$AT$54+'[6]Октяб.рн Первомайс 4а'!$AT$58</f>
        <v>488.56487897061993</v>
      </c>
      <c r="E20" s="29">
        <f>'[4]Октяб.рн Первомайс 4а'!$AT$54+'[4]Октяб.рн Первомайс 4а'!$AT$58</f>
        <v>439.71106000000003</v>
      </c>
      <c r="F20" s="29">
        <f>'[9]Октяб.рн Первомайс 4а'!$AT$54+'[9]Октяб.рн Первомайс 4а'!$AT$58</f>
        <v>334.34645</v>
      </c>
      <c r="G20" s="33">
        <f t="shared" si="0"/>
        <v>1378.48210797062</v>
      </c>
    </row>
    <row r="21" spans="1:7" ht="12.75">
      <c r="A21" s="28" t="s">
        <v>11</v>
      </c>
      <c r="B21" s="12" t="s">
        <v>5</v>
      </c>
      <c r="C21" s="29">
        <f>'[1]Октяб.рн Первомайс 4а'!$AT$81</f>
        <v>44.51398</v>
      </c>
      <c r="D21" s="29">
        <f>'[6]Октяб.рн Первомайс 4а'!$AT$81</f>
        <v>93.82838</v>
      </c>
      <c r="E21" s="29">
        <f>'[4]Октяб.рн Первомайс 4а'!$AT$81</f>
        <v>86.88789</v>
      </c>
      <c r="F21" s="29">
        <f>'[9]Октяб.рн Первомайс 4а'!$AT$81</f>
        <v>78.9904</v>
      </c>
      <c r="G21" s="33">
        <f t="shared" si="0"/>
        <v>304.22065</v>
      </c>
    </row>
    <row r="22" spans="1:7" ht="12.75">
      <c r="A22" s="28" t="s">
        <v>12</v>
      </c>
      <c r="B22" s="12" t="s">
        <v>6</v>
      </c>
      <c r="C22" s="29">
        <f>'[1]Октяб.рн Первомайс 4а'!$AT$83</f>
        <v>1.15462</v>
      </c>
      <c r="D22" s="29">
        <f>'[6]Октяб.рн Первомайс 4а'!$AT$83</f>
        <v>2.7806599999999992</v>
      </c>
      <c r="E22" s="29">
        <f>'[4]Октяб.рн Первомайс 4а'!$AT$83</f>
        <v>14.874940000000002</v>
      </c>
      <c r="F22" s="29">
        <f>'[9]Октяб.рн Первомайс 4а'!$AT$83</f>
        <v>5.53223</v>
      </c>
      <c r="G22" s="33">
        <f t="shared" si="0"/>
        <v>24.34245</v>
      </c>
    </row>
    <row r="23" spans="1:7" ht="12.75">
      <c r="A23" s="28" t="s">
        <v>13</v>
      </c>
      <c r="B23" s="12" t="s">
        <v>7</v>
      </c>
      <c r="C23" s="29">
        <f>'[1]Октяб.рн Первомайс 4а'!$AT$123</f>
        <v>10.140007</v>
      </c>
      <c r="D23" s="29">
        <f>'[6]Октяб.рн Первомайс 4а'!$AT$123</f>
        <v>71.07134700805994</v>
      </c>
      <c r="E23" s="29">
        <f>'[4]Октяб.рн Первомайс 4а'!$AT$123</f>
        <v>43.18462</v>
      </c>
      <c r="F23" s="29">
        <f>'[9]Октяб.рн Первомайс 4а'!$AT$123</f>
        <v>0</v>
      </c>
      <c r="G23" s="33">
        <f t="shared" si="0"/>
        <v>124.39597400805994</v>
      </c>
    </row>
    <row r="24" spans="1:7" ht="12.75">
      <c r="A24" s="28" t="s">
        <v>15</v>
      </c>
      <c r="B24" s="44" t="s">
        <v>19</v>
      </c>
      <c r="C24" s="29"/>
      <c r="D24" s="29">
        <f>'[6]Октяб.рн Первомайс 4а'!$AT$75+'[6]Октяб.рн Первомайс 4а'!$AT$73+'[6]Октяб.рн Первомайс 4а'!$AT$68</f>
        <v>0.035</v>
      </c>
      <c r="E24" s="29">
        <f>'[4]Октяб.рн Первомайс 4а'!$AT$66-'[4]Октяб.рн Первомайс 4а'!$AT$81</f>
        <v>1.6112099999999998</v>
      </c>
      <c r="F24" s="29">
        <f>'[9]Октяб.рн Первомайс 4а'!$AT$66-'[9]Октяб.рн Первомайс 4а'!$AT$81</f>
        <v>11.787189999999995</v>
      </c>
      <c r="G24" s="33">
        <f t="shared" si="0"/>
        <v>13.433399999999995</v>
      </c>
    </row>
    <row r="25" spans="1:7" ht="13.5" thickBot="1">
      <c r="A25" s="28" t="s">
        <v>37</v>
      </c>
      <c r="B25" s="23" t="s">
        <v>38</v>
      </c>
      <c r="C25" s="29">
        <f>C14*15%</f>
        <v>57.74087288135594</v>
      </c>
      <c r="D25" s="29">
        <f>D14*15%</f>
        <v>106.6523059322034</v>
      </c>
      <c r="E25" s="29">
        <f>E14*15%</f>
        <v>121.28702796610169</v>
      </c>
      <c r="F25" s="29">
        <f>F14*15%</f>
        <v>117.28943771186438</v>
      </c>
      <c r="G25" s="33">
        <f t="shared" si="0"/>
        <v>402.9696444915254</v>
      </c>
    </row>
    <row r="26" spans="1:7" ht="13.5" thickBot="1">
      <c r="A26" s="24"/>
      <c r="B26" s="25"/>
      <c r="C26" s="26"/>
      <c r="D26" s="26"/>
      <c r="E26" s="26"/>
      <c r="F26" s="26"/>
      <c r="G26" s="26"/>
    </row>
    <row r="27" s="9" customFormat="1" ht="12.75">
      <c r="B27" s="43"/>
    </row>
    <row r="28" ht="12.75">
      <c r="G28" s="9"/>
    </row>
    <row r="29" spans="2:7" ht="12.75">
      <c r="B29" s="14"/>
      <c r="G29" s="9"/>
    </row>
    <row r="30" spans="2:7" ht="12.75">
      <c r="B30" s="9"/>
      <c r="G30" s="9"/>
    </row>
    <row r="31" spans="1:7" ht="33" customHeight="1">
      <c r="A31" s="179" t="s">
        <v>17</v>
      </c>
      <c r="B31" s="179"/>
      <c r="E31" s="14" t="s">
        <v>57</v>
      </c>
      <c r="F31" s="14"/>
      <c r="G31" s="9"/>
    </row>
    <row r="32" spans="1:7" ht="34.5" customHeight="1">
      <c r="A32" s="14" t="s">
        <v>79</v>
      </c>
      <c r="B32" s="9"/>
      <c r="E32" s="14" t="s">
        <v>68</v>
      </c>
      <c r="F32" s="14"/>
      <c r="G32" s="9"/>
    </row>
    <row r="33" spans="2:7" ht="12.75">
      <c r="B33" s="9"/>
      <c r="G33" s="9"/>
    </row>
    <row r="34" ht="12.75">
      <c r="B34" s="9"/>
    </row>
    <row r="35" ht="12.75">
      <c r="B35" s="9"/>
    </row>
    <row r="36" ht="12.75">
      <c r="B36" s="9"/>
    </row>
    <row r="37" ht="12.75">
      <c r="B37" s="11" t="s">
        <v>8</v>
      </c>
    </row>
    <row r="38" ht="12.75">
      <c r="B38" s="9" t="s">
        <v>16</v>
      </c>
    </row>
    <row r="39" ht="12.75">
      <c r="B39" s="9" t="s">
        <v>40</v>
      </c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</sheetData>
  <sheetProtection/>
  <mergeCells count="4">
    <mergeCell ref="A8:G8"/>
    <mergeCell ref="B7:G7"/>
    <mergeCell ref="A5:G5"/>
    <mergeCell ref="A31:B31"/>
  </mergeCells>
  <printOptions/>
  <pageMargins left="0.61" right="0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Елена Викторовна Долматова</cp:lastModifiedBy>
  <cp:lastPrinted>2015-05-25T03:00:17Z</cp:lastPrinted>
  <dcterms:created xsi:type="dcterms:W3CDTF">2009-05-11T22:25:49Z</dcterms:created>
  <dcterms:modified xsi:type="dcterms:W3CDTF">2015-05-25T03:00:23Z</dcterms:modified>
  <cp:category/>
  <cp:version/>
  <cp:contentType/>
  <cp:contentStatus/>
</cp:coreProperties>
</file>